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xlservicenam-my.sharepoint.com/personal/priyanka210060_exlservice_com/Documents/Desktop/IR/Earnings/Q3 26/Final/"/>
    </mc:Choice>
  </mc:AlternateContent>
  <xr:revisionPtr revIDLastSave="29" documentId="8_{C26AA793-86FB-4448-B8BF-E288A7B9D6BC}" xr6:coauthVersionLast="47" xr6:coauthVersionMax="47" xr10:uidLastSave="{5A5483CD-A4BA-4AFE-A419-AEAC990EBF8F}"/>
  <bookViews>
    <workbookView xWindow="-110" yWindow="-110" windowWidth="19420" windowHeight="12300" tabRatio="762" firstSheet="3" activeTab="5" xr2:uid="{B50E1F05-6FCA-4C9B-9D12-7A388DE1265F}"/>
  </bookViews>
  <sheets>
    <sheet name="Contents" sheetId="9" r:id="rId1"/>
    <sheet name="Income Statement" sheetId="10" r:id="rId2"/>
    <sheet name="Balance Sheet" sheetId="13" r:id="rId3"/>
    <sheet name="Cashflow" sheetId="14" r:id="rId4"/>
    <sheet name="Revenue &amp; Margin (till 2024)" sheetId="8" r:id="rId5"/>
    <sheet name="Revenue &amp; Margin (eff. 2025)" sheetId="16" r:id="rId6"/>
    <sheet name="Non-GAAP" sheetId="11" r:id="rId7"/>
    <sheet name="Other Metrics" sheetId="5" r:id="rId8"/>
  </sheets>
  <definedNames>
    <definedName name="_xlnm._FilterDatabase" localSheetId="1" hidden="1">'Income Statement'!#REF!</definedName>
    <definedName name="_xlnm._FilterDatabase" localSheetId="6" hidden="1">'Non-GAAP'!#REF!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2">'Balance Sheet'!$A$1:$U$52</definedName>
    <definedName name="_xlnm.Print_Area" localSheetId="3">Cashflow!$A$1:$X$62</definedName>
    <definedName name="_xlnm.Print_Area" localSheetId="1">'Income Statement'!$A$1:$X$55</definedName>
    <definedName name="_xlnm.Print_Area" localSheetId="6">'Non-GAAP'!$A$1:$X$60</definedName>
    <definedName name="_xlnm.Print_Area" localSheetId="7">'Other Metrics'!$A$1:$Y$32</definedName>
    <definedName name="_xlnm.Print_Area" localSheetId="5">'Revenue &amp; Margin (eff. 2025)'!$A$1:$Y$96</definedName>
    <definedName name="_xlnm.Print_Area" localSheetId="4">'Revenue &amp; Margin (till 2024)'!$A$1:$Q$75</definedName>
    <definedName name="_xlnm.Print_Titles" localSheetId="1">'Income Statement'!$A:$A,'Income Statement'!$4:$5</definedName>
    <definedName name="_xlnm.Print_Titles" localSheetId="6">'Non-GAAP'!$A:$A,'Non-GAAP'!$4:$5</definedName>
    <definedName name="_xlnm.Print_Titles" localSheetId="7">'Other Metrics'!$B:$B</definedName>
    <definedName name="_xlnm.Print_Titles" localSheetId="5">'Revenue &amp; Margin (eff. 2025)'!$1:$4</definedName>
    <definedName name="_xlnm.Print_Titles" localSheetId="4">'Revenue &amp; Margin (till 2024)'!$1:$4</definedName>
    <definedName name="Z_168DC811_186D_42DC_8A72_3741D1063270_.wvu.PrintArea" localSheetId="7" hidden="1">'Other Metrics'!$A$1:$B$15</definedName>
    <definedName name="Z_168DC811_186D_42DC_8A72_3741D1063270_.wvu.PrintTitles" localSheetId="1" hidden="1">'Income Statement'!$A:$A,'Income Statement'!$4:$5</definedName>
    <definedName name="Z_168DC811_186D_42DC_8A72_3741D1063270_.wvu.PrintTitles" localSheetId="6" hidden="1">'Non-GAAP'!$A:$A,'Non-GAAP'!$4:$5</definedName>
    <definedName name="Z_168DC811_186D_42DC_8A72_3741D1063270_.wvu.PrintTitles" localSheetId="7" hidden="1">'Other Metrics'!$B:$B</definedName>
    <definedName name="Z_168DC811_186D_42DC_8A72_3741D1063270_.wvu.Rows" localSheetId="7" hidden="1">'Other Metrics'!#REF!</definedName>
  </definedNames>
  <calcPr calcId="191029"/>
  <customWorkbookViews>
    <customWorkbookView name="rahul13232 - Personal View" guid="{168DC811-186D-42DC-8A72-3741D1063270}" mergeInterval="0" personalView="1" maximized="1" xWindow="1" yWindow="1" windowWidth="1276" windowHeight="803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4" i="16" l="1"/>
  <c r="X35" i="11"/>
  <c r="X32" i="11"/>
  <c r="X23" i="11"/>
  <c r="X30" i="11"/>
  <c r="Y58" i="16" l="1"/>
  <c r="Y18" i="5" l="1"/>
  <c r="Y22" i="5"/>
  <c r="Y26" i="5"/>
  <c r="Y30" i="5"/>
  <c r="E36" i="10" l="1"/>
  <c r="J36" i="10"/>
  <c r="W35" i="11" l="1"/>
  <c r="W32" i="11"/>
  <c r="W23" i="11"/>
  <c r="X30" i="5" l="1"/>
  <c r="X26" i="5"/>
  <c r="X22" i="5"/>
  <c r="X18" i="5"/>
  <c r="V35" i="11" l="1"/>
  <c r="V32" i="11"/>
  <c r="V23" i="11"/>
  <c r="V30" i="11" l="1"/>
  <c r="W58" i="16" l="1"/>
  <c r="W84" i="16"/>
  <c r="W78" i="16" s="1"/>
  <c r="W64" i="16" l="1"/>
  <c r="W71" i="16"/>
  <c r="W18" i="16" l="1"/>
  <c r="W26" i="16" s="1"/>
  <c r="W31" i="16" l="1"/>
  <c r="W22" i="16" l="1"/>
  <c r="X22" i="16"/>
  <c r="Y22" i="16"/>
  <c r="U50" i="14" l="1"/>
  <c r="U13" i="14" l="1"/>
  <c r="U11" i="14"/>
  <c r="W30" i="5" l="1"/>
  <c r="W26" i="5"/>
  <c r="W22" i="5"/>
  <c r="W18" i="5"/>
  <c r="T33" i="11" l="1"/>
  <c r="T49" i="11"/>
  <c r="T47" i="11"/>
  <c r="T40" i="11"/>
  <c r="T39" i="11"/>
  <c r="T38" i="11"/>
  <c r="T37" i="11"/>
  <c r="U32" i="11" l="1"/>
  <c r="U23" i="11"/>
  <c r="T15" i="11"/>
  <c r="T14" i="11"/>
  <c r="T23" i="11" s="1"/>
  <c r="T13" i="11"/>
  <c r="T12" i="11"/>
  <c r="T56" i="14" l="1"/>
  <c r="T19" i="14"/>
  <c r="T13" i="14"/>
  <c r="T11" i="14"/>
  <c r="Y53" i="16" l="1"/>
  <c r="Y47" i="16"/>
  <c r="Y41" i="16"/>
  <c r="Y35" i="16"/>
  <c r="S50" i="14"/>
  <c r="T50" i="14" s="1"/>
  <c r="S48" i="14"/>
  <c r="T84" i="16" l="1"/>
  <c r="T26" i="16" s="1"/>
  <c r="T58" i="16"/>
  <c r="T31" i="16" l="1"/>
  <c r="T78" i="16"/>
  <c r="T64" i="16"/>
  <c r="T71" i="16"/>
  <c r="Y19" i="5" l="1"/>
  <c r="U26" i="5" l="1"/>
  <c r="Y27" i="5"/>
  <c r="U18" i="5"/>
  <c r="U22" i="5"/>
  <c r="Y23" i="5"/>
  <c r="U30" i="5"/>
  <c r="Y31" i="5"/>
  <c r="S35" i="11" l="1"/>
  <c r="S32" i="11"/>
  <c r="S23" i="11"/>
  <c r="S58" i="16" l="1"/>
  <c r="X31" i="5" l="1"/>
  <c r="T26" i="5" l="1"/>
  <c r="X27" i="5"/>
  <c r="T18" i="5"/>
  <c r="X19" i="5"/>
  <c r="T22" i="5"/>
  <c r="X23" i="5"/>
  <c r="T30" i="5"/>
  <c r="T50" i="11" l="1"/>
  <c r="T42" i="11" l="1"/>
  <c r="R35" i="11"/>
  <c r="R32" i="11"/>
  <c r="R23" i="11"/>
  <c r="S53" i="16" l="1"/>
  <c r="T79" i="16"/>
  <c r="N84" i="16"/>
  <c r="N26" i="16" s="1"/>
  <c r="N31" i="16" s="1"/>
  <c r="T72" i="16"/>
  <c r="T65" i="16"/>
  <c r="W9" i="16"/>
  <c r="Q8" i="16"/>
  <c r="Q13" i="16" l="1"/>
  <c r="Q63" i="16"/>
  <c r="W79" i="16" l="1"/>
  <c r="W72" i="16"/>
  <c r="W65" i="16"/>
  <c r="G77" i="16" l="1"/>
  <c r="G70" i="16"/>
  <c r="G63" i="16"/>
  <c r="T47" i="16" l="1"/>
  <c r="S47" i="16"/>
  <c r="T41" i="16"/>
  <c r="S41" i="16"/>
  <c r="T35" i="16"/>
  <c r="S35" i="16"/>
  <c r="Q52" i="16" l="1"/>
  <c r="T53" i="16"/>
  <c r="Q34" i="16"/>
  <c r="Q40" i="16"/>
  <c r="Q46" i="16"/>
  <c r="V31" i="5"/>
  <c r="U31" i="5"/>
  <c r="T31" i="5"/>
  <c r="S31" i="5"/>
  <c r="S30" i="5" l="1"/>
  <c r="W31" i="5"/>
  <c r="R31" i="5"/>
  <c r="P31" i="5"/>
  <c r="Q31" i="5"/>
  <c r="K30" i="5"/>
  <c r="N31" i="5"/>
  <c r="O31" i="5"/>
  <c r="I30" i="5"/>
  <c r="L31" i="5"/>
  <c r="N30" i="5"/>
  <c r="H30" i="5"/>
  <c r="P30" i="5"/>
  <c r="J30" i="5"/>
  <c r="M30" i="5"/>
  <c r="E30" i="5"/>
  <c r="O30" i="5"/>
  <c r="H31" i="5"/>
  <c r="I31" i="5"/>
  <c r="R30" i="5"/>
  <c r="J31" i="5"/>
  <c r="F30" i="5"/>
  <c r="K31" i="5"/>
  <c r="D30" i="5"/>
  <c r="M31" i="5"/>
  <c r="T18" i="14" l="1"/>
  <c r="Q77" i="16"/>
  <c r="L77" i="16"/>
  <c r="Q70" i="16"/>
  <c r="L70" i="16"/>
  <c r="L63" i="16"/>
  <c r="R14" i="16"/>
  <c r="J14" i="16" l="1"/>
  <c r="H9" i="16"/>
  <c r="G13" i="16"/>
  <c r="G8" i="16"/>
  <c r="J9" i="16"/>
  <c r="K14" i="16"/>
  <c r="I14" i="16"/>
  <c r="H14" i="16"/>
  <c r="K9" i="16"/>
  <c r="F18" i="16"/>
  <c r="D18" i="16"/>
  <c r="C18" i="16"/>
  <c r="R9" i="16" l="1"/>
  <c r="L13" i="16"/>
  <c r="L14" i="16" s="1"/>
  <c r="I9" i="16"/>
  <c r="L8" i="16"/>
  <c r="L9" i="16" s="1"/>
  <c r="G18" i="16"/>
  <c r="E18" i="16"/>
  <c r="T14" i="14" l="1"/>
  <c r="T25" i="14"/>
  <c r="T30" i="14" l="1"/>
  <c r="T26" i="14"/>
  <c r="S22" i="5"/>
  <c r="S18" i="5" l="1"/>
  <c r="W19" i="5"/>
  <c r="W23" i="5"/>
  <c r="S26" i="5"/>
  <c r="W27" i="5"/>
  <c r="I23" i="11" l="1"/>
  <c r="Q35" i="11" l="1"/>
  <c r="T35" i="11" s="1"/>
  <c r="N35" i="11"/>
  <c r="L35" i="11"/>
  <c r="K35" i="11"/>
  <c r="J35" i="11"/>
  <c r="I35" i="11"/>
  <c r="H35" i="11"/>
  <c r="G35" i="11"/>
  <c r="F35" i="11"/>
  <c r="E35" i="11"/>
  <c r="D35" i="11"/>
  <c r="C35" i="11"/>
  <c r="B35" i="11"/>
  <c r="R84" i="16"/>
  <c r="R26" i="16" s="1"/>
  <c r="D27" i="10"/>
  <c r="C27" i="10"/>
  <c r="B27" i="10"/>
  <c r="R31" i="16" l="1"/>
  <c r="W27" i="16"/>
  <c r="R71" i="16"/>
  <c r="R78" i="16"/>
  <c r="R64" i="16"/>
  <c r="F58" i="16"/>
  <c r="D58" i="16"/>
  <c r="C58" i="16"/>
  <c r="E58" i="16" l="1"/>
  <c r="G34" i="16"/>
  <c r="G52" i="16"/>
  <c r="G46" i="16"/>
  <c r="G40" i="16"/>
  <c r="G58" i="16" l="1"/>
  <c r="Q32" i="11" l="1"/>
  <c r="T32" i="11" s="1"/>
  <c r="Q30" i="11"/>
  <c r="Q23" i="11"/>
  <c r="L52" i="16"/>
  <c r="L34" i="16" l="1"/>
  <c r="Q58" i="16"/>
  <c r="L40" i="16"/>
  <c r="L46" i="16"/>
  <c r="R18" i="16"/>
  <c r="L18" i="16"/>
  <c r="K18" i="16"/>
  <c r="J18" i="16"/>
  <c r="I18" i="16"/>
  <c r="H18" i="16"/>
  <c r="D84" i="16" l="1"/>
  <c r="D26" i="16" s="1"/>
  <c r="D31" i="16" s="1"/>
  <c r="G84" i="16" l="1"/>
  <c r="G26" i="16" s="1"/>
  <c r="G31" i="16" s="1"/>
  <c r="C84" i="16"/>
  <c r="E84" i="16"/>
  <c r="E26" i="16" s="1"/>
  <c r="E31" i="16" s="1"/>
  <c r="F84" i="16"/>
  <c r="F26" i="16" s="1"/>
  <c r="F31" i="16" s="1"/>
  <c r="R81" i="16"/>
  <c r="R79" i="16"/>
  <c r="R74" i="16"/>
  <c r="R72" i="16"/>
  <c r="R67" i="16"/>
  <c r="R65" i="16"/>
  <c r="C26" i="16" l="1"/>
  <c r="Q84" i="16"/>
  <c r="Q26" i="16" s="1"/>
  <c r="Q31" i="16" s="1"/>
  <c r="H84" i="16"/>
  <c r="H26" i="16" s="1"/>
  <c r="H31" i="16" s="1"/>
  <c r="M84" i="16"/>
  <c r="M26" i="16" s="1"/>
  <c r="M31" i="16" s="1"/>
  <c r="O84" i="16"/>
  <c r="O26" i="16" s="1"/>
  <c r="O31" i="16" s="1"/>
  <c r="I84" i="16"/>
  <c r="I26" i="16" s="1"/>
  <c r="I31" i="16" s="1"/>
  <c r="J84" i="16"/>
  <c r="J26" i="16" s="1"/>
  <c r="J31" i="16" s="1"/>
  <c r="P84" i="16"/>
  <c r="P26" i="16" s="1"/>
  <c r="P31" i="16" s="1"/>
  <c r="K84" i="16"/>
  <c r="K26" i="16" s="1"/>
  <c r="K31" i="16" s="1"/>
  <c r="L84" i="16"/>
  <c r="L26" i="16" s="1"/>
  <c r="L31" i="16" s="1"/>
  <c r="Q14" i="16"/>
  <c r="P14" i="16"/>
  <c r="O14" i="16"/>
  <c r="N14" i="16"/>
  <c r="M14" i="16"/>
  <c r="C31" i="16" l="1"/>
  <c r="P64" i="16"/>
  <c r="P78" i="16"/>
  <c r="P71" i="16"/>
  <c r="J78" i="16"/>
  <c r="J71" i="16"/>
  <c r="J64" i="16"/>
  <c r="N71" i="16"/>
  <c r="N64" i="16"/>
  <c r="N78" i="16"/>
  <c r="I71" i="16"/>
  <c r="I78" i="16"/>
  <c r="I64" i="16"/>
  <c r="O64" i="16"/>
  <c r="O78" i="16"/>
  <c r="O71" i="16"/>
  <c r="H71" i="16"/>
  <c r="H78" i="16"/>
  <c r="H64" i="16"/>
  <c r="M71" i="16"/>
  <c r="M64" i="16"/>
  <c r="M78" i="16"/>
  <c r="L64" i="16"/>
  <c r="L78" i="16"/>
  <c r="L71" i="16"/>
  <c r="K78" i="16"/>
  <c r="K71" i="16"/>
  <c r="K64" i="16"/>
  <c r="Q64" i="16"/>
  <c r="Q71" i="16"/>
  <c r="Q78" i="16"/>
  <c r="N18" i="16"/>
  <c r="M18" i="16"/>
  <c r="P18" i="16"/>
  <c r="O18" i="16"/>
  <c r="Q18" i="16"/>
  <c r="Q9" i="16"/>
  <c r="N9" i="16"/>
  <c r="M9" i="16"/>
  <c r="O9" i="16"/>
  <c r="P9" i="16"/>
  <c r="Q35" i="16"/>
  <c r="P53" i="16"/>
  <c r="O35" i="16"/>
  <c r="M35" i="16"/>
  <c r="L53" i="16"/>
  <c r="L47" i="16"/>
  <c r="L41" i="16"/>
  <c r="L35" i="16"/>
  <c r="K53" i="16"/>
  <c r="K47" i="16"/>
  <c r="K41" i="16"/>
  <c r="K35" i="16"/>
  <c r="J53" i="16"/>
  <c r="J47" i="16"/>
  <c r="J41" i="16"/>
  <c r="J35" i="16"/>
  <c r="I53" i="16"/>
  <c r="I47" i="16"/>
  <c r="I41" i="16"/>
  <c r="I35" i="16"/>
  <c r="H53" i="16"/>
  <c r="H47" i="16"/>
  <c r="H35" i="16"/>
  <c r="M41" i="16" l="1"/>
  <c r="O41" i="16"/>
  <c r="Q41" i="16"/>
  <c r="M47" i="16"/>
  <c r="O47" i="16"/>
  <c r="Q47" i="16"/>
  <c r="M53" i="16"/>
  <c r="O53" i="16"/>
  <c r="Q53" i="16"/>
  <c r="N35" i="16"/>
  <c r="P35" i="16"/>
  <c r="H41" i="16"/>
  <c r="N41" i="16"/>
  <c r="P41" i="16"/>
  <c r="N47" i="16"/>
  <c r="P47" i="16"/>
  <c r="N53" i="16"/>
  <c r="M58" i="16"/>
  <c r="O58" i="16"/>
  <c r="J58" i="16"/>
  <c r="N58" i="16"/>
  <c r="P58" i="16"/>
  <c r="I58" i="16"/>
  <c r="K58" i="16"/>
  <c r="H58" i="16"/>
  <c r="L58" i="16"/>
  <c r="J79" i="16" l="1"/>
  <c r="K72" i="16"/>
  <c r="H72" i="16"/>
  <c r="L65" i="16"/>
  <c r="I65" i="16"/>
  <c r="H67" i="16"/>
  <c r="O72" i="16" l="1"/>
  <c r="N72" i="16"/>
  <c r="P72" i="16"/>
  <c r="N79" i="16"/>
  <c r="K74" i="16"/>
  <c r="O79" i="16"/>
  <c r="P65" i="16"/>
  <c r="I67" i="16"/>
  <c r="P67" i="16"/>
  <c r="N65" i="16"/>
  <c r="M74" i="16"/>
  <c r="O81" i="16"/>
  <c r="Q65" i="16"/>
  <c r="O74" i="16"/>
  <c r="P81" i="16"/>
  <c r="O65" i="16"/>
  <c r="N81" i="16"/>
  <c r="J81" i="16"/>
  <c r="M72" i="16"/>
  <c r="I72" i="16"/>
  <c r="I74" i="16"/>
  <c r="Q72" i="16"/>
  <c r="H74" i="16"/>
  <c r="M79" i="16"/>
  <c r="M67" i="16"/>
  <c r="K65" i="16"/>
  <c r="K67" i="16"/>
  <c r="P74" i="16"/>
  <c r="L79" i="16"/>
  <c r="H65" i="16"/>
  <c r="H79" i="16"/>
  <c r="H81" i="16"/>
  <c r="P79" i="16"/>
  <c r="J65" i="16"/>
  <c r="J67" i="16"/>
  <c r="J74" i="16"/>
  <c r="J72" i="16"/>
  <c r="I81" i="16"/>
  <c r="I79" i="16"/>
  <c r="Q79" i="16"/>
  <c r="N67" i="16"/>
  <c r="M65" i="16"/>
  <c r="L72" i="16"/>
  <c r="K81" i="16"/>
  <c r="K79" i="16"/>
  <c r="O67" i="16"/>
  <c r="N74" i="16"/>
  <c r="M81" i="16"/>
  <c r="Q17" i="8" l="1"/>
  <c r="Q45" i="8"/>
  <c r="Q39" i="8"/>
  <c r="Q20" i="8"/>
  <c r="Q47" i="8" l="1"/>
  <c r="Q55" i="8" s="1"/>
  <c r="Q27" i="8"/>
  <c r="Q21" i="8"/>
  <c r="Q33" i="8"/>
  <c r="Q63" i="8" l="1"/>
  <c r="Q59" i="8"/>
  <c r="O13" i="11" l="1"/>
  <c r="P35" i="11" l="1"/>
  <c r="V27" i="5" l="1"/>
  <c r="V23" i="5"/>
  <c r="V19" i="5"/>
  <c r="U19" i="5" l="1"/>
  <c r="U23" i="5"/>
  <c r="U27" i="5"/>
  <c r="R18" i="5"/>
  <c r="R22" i="5"/>
  <c r="R26" i="5"/>
  <c r="Q6" i="5" l="1"/>
  <c r="O40" i="11" l="1"/>
  <c r="O47" i="11"/>
  <c r="O38" i="11"/>
  <c r="O13" i="14" l="1"/>
  <c r="P32" i="11" l="1"/>
  <c r="P14" i="11"/>
  <c r="E51" i="14" l="1"/>
  <c r="O50" i="14"/>
  <c r="J48" i="14"/>
  <c r="E48" i="14"/>
  <c r="O19" i="14"/>
  <c r="J13" i="14"/>
  <c r="E13" i="14"/>
  <c r="E16" i="14" l="1"/>
  <c r="E39" i="14"/>
  <c r="E26" i="14"/>
  <c r="E17" i="14"/>
  <c r="E29" i="14"/>
  <c r="E49" i="14"/>
  <c r="E19" i="14"/>
  <c r="M53" i="14"/>
  <c r="E49" i="13"/>
  <c r="L49" i="13"/>
  <c r="C49" i="13"/>
  <c r="K49" i="13"/>
  <c r="H49" i="13"/>
  <c r="D49" i="13"/>
  <c r="F49" i="13"/>
  <c r="G49" i="13"/>
  <c r="I49" i="13"/>
  <c r="J49" i="13"/>
  <c r="L13" i="13"/>
  <c r="L24" i="13" s="1"/>
  <c r="F13" i="13"/>
  <c r="F24" i="13" s="1"/>
  <c r="E36" i="14"/>
  <c r="E11" i="14"/>
  <c r="E20" i="14"/>
  <c r="E8" i="14"/>
  <c r="E12" i="14"/>
  <c r="J17" i="14"/>
  <c r="C13" i="13"/>
  <c r="H13" i="13"/>
  <c r="H24" i="13" s="1"/>
  <c r="K13" i="13"/>
  <c r="K24" i="13" s="1"/>
  <c r="L42" i="14"/>
  <c r="J16" i="14"/>
  <c r="L53" i="14"/>
  <c r="J27" i="14"/>
  <c r="J29" i="14"/>
  <c r="J30" i="14"/>
  <c r="J55" i="14"/>
  <c r="J10" i="14"/>
  <c r="J12" i="14"/>
  <c r="J26" i="14"/>
  <c r="J52" i="14"/>
  <c r="J51" i="14"/>
  <c r="J20" i="14"/>
  <c r="F42" i="14"/>
  <c r="G42" i="14"/>
  <c r="E13" i="13"/>
  <c r="E24" i="13" s="1"/>
  <c r="I13" i="13"/>
  <c r="I24" i="13" s="1"/>
  <c r="J13" i="13"/>
  <c r="J24" i="13" s="1"/>
  <c r="G13" i="13"/>
  <c r="G24" i="13" s="1"/>
  <c r="D13" i="13"/>
  <c r="J11" i="14"/>
  <c r="J25" i="14"/>
  <c r="F33" i="14"/>
  <c r="G33" i="14"/>
  <c r="J14" i="14"/>
  <c r="E41" i="14"/>
  <c r="J8" i="14"/>
  <c r="B33" i="14"/>
  <c r="J28" i="14"/>
  <c r="E30" i="14"/>
  <c r="K42" i="14"/>
  <c r="K33" i="14"/>
  <c r="F53" i="14"/>
  <c r="J50" i="14"/>
  <c r="L33" i="14"/>
  <c r="G53" i="14"/>
  <c r="J45" i="14"/>
  <c r="J24" i="14"/>
  <c r="B42" i="14"/>
  <c r="K53" i="14"/>
  <c r="J36" i="14"/>
  <c r="B53" i="14"/>
  <c r="E40" i="14"/>
  <c r="E28" i="14" l="1"/>
  <c r="E46" i="14"/>
  <c r="E21" i="14"/>
  <c r="E31" i="14"/>
  <c r="E18" i="14"/>
  <c r="E10" i="14"/>
  <c r="E24" i="14"/>
  <c r="C24" i="13"/>
  <c r="E55" i="14"/>
  <c r="M42" i="14"/>
  <c r="D24" i="13"/>
  <c r="M33" i="14"/>
  <c r="K57" i="14"/>
  <c r="C42" i="14"/>
  <c r="J40" i="14"/>
  <c r="L57" i="14"/>
  <c r="C33" i="14"/>
  <c r="J49" i="14"/>
  <c r="H33" i="14"/>
  <c r="J18" i="14"/>
  <c r="E45" i="14"/>
  <c r="J39" i="14"/>
  <c r="E15" i="14"/>
  <c r="G57" i="14"/>
  <c r="J19" i="14"/>
  <c r="J15" i="14"/>
  <c r="J21" i="14"/>
  <c r="I53" i="14"/>
  <c r="B57" i="14"/>
  <c r="H42" i="14"/>
  <c r="E25" i="14"/>
  <c r="J38" i="14"/>
  <c r="J46" i="14"/>
  <c r="C53" i="14"/>
  <c r="H53" i="14"/>
  <c r="F57" i="14"/>
  <c r="E38" i="14" l="1"/>
  <c r="E27" i="14"/>
  <c r="E52" i="14"/>
  <c r="E50" i="14"/>
  <c r="J31" i="14"/>
  <c r="J41" i="14"/>
  <c r="M57" i="14"/>
  <c r="D42" i="14"/>
  <c r="C57" i="14"/>
  <c r="J53" i="14"/>
  <c r="H57" i="14"/>
  <c r="I42" i="14"/>
  <c r="I33" i="14"/>
  <c r="D33" i="14"/>
  <c r="E37" i="14"/>
  <c r="D53" i="14"/>
  <c r="E14" i="14"/>
  <c r="J37" i="14"/>
  <c r="E33" i="14" l="1"/>
  <c r="E53" i="14"/>
  <c r="J33" i="14"/>
  <c r="J42" i="14"/>
  <c r="I57" i="14"/>
  <c r="E42" i="14"/>
  <c r="D57" i="14"/>
  <c r="E57" i="14" l="1"/>
  <c r="J57" i="14"/>
  <c r="F59" i="14"/>
  <c r="B59" i="14" l="1"/>
  <c r="K58" i="14"/>
  <c r="K59" i="14" s="1"/>
  <c r="P58" i="14" s="1"/>
  <c r="G58" i="14"/>
  <c r="G59" i="14" s="1"/>
  <c r="C58" i="14" l="1"/>
  <c r="H58" i="14"/>
  <c r="H59" i="14" s="1"/>
  <c r="L58" i="14"/>
  <c r="L59" i="14" s="1"/>
  <c r="M58" i="14" s="1"/>
  <c r="M59" i="14" s="1"/>
  <c r="C59" i="14" l="1"/>
  <c r="N58" i="14"/>
  <c r="I58" i="14"/>
  <c r="I59" i="14" s="1"/>
  <c r="D58" i="14" l="1"/>
  <c r="J58" i="14"/>
  <c r="D59" i="14" l="1"/>
  <c r="J59" i="14"/>
  <c r="E58" i="14" l="1"/>
  <c r="E59" i="14" l="1"/>
  <c r="P64" i="8"/>
  <c r="P60" i="8"/>
  <c r="P56" i="8"/>
  <c r="O45" i="8" l="1"/>
  <c r="O39" i="8"/>
  <c r="O20" i="8"/>
  <c r="O33" i="8" l="1"/>
  <c r="O17" i="8"/>
  <c r="O21" i="8" s="1"/>
  <c r="O27" i="8"/>
  <c r="O47" i="8" l="1"/>
  <c r="O55" i="8" l="1"/>
  <c r="O63" i="8"/>
  <c r="O59" i="8"/>
  <c r="P18" i="5" l="1"/>
  <c r="T19" i="5"/>
  <c r="P26" i="5"/>
  <c r="T27" i="5"/>
  <c r="P22" i="5"/>
  <c r="T23" i="5"/>
  <c r="N14" i="11" l="1"/>
  <c r="N32" i="11"/>
  <c r="M35" i="11" l="1"/>
  <c r="O12" i="11"/>
  <c r="O64" i="8" l="1"/>
  <c r="O60" i="8"/>
  <c r="O56" i="8"/>
  <c r="N45" i="8" l="1"/>
  <c r="N39" i="8"/>
  <c r="N20" i="8"/>
  <c r="N33" i="8" l="1"/>
  <c r="N17" i="8"/>
  <c r="N27" i="8"/>
  <c r="N47" i="8" l="1"/>
  <c r="N21" i="8"/>
  <c r="N59" i="8" l="1"/>
  <c r="N55" i="8"/>
  <c r="N63" i="8"/>
  <c r="S27" i="5"/>
  <c r="S23" i="5"/>
  <c r="S19" i="5"/>
  <c r="O18" i="5" l="1"/>
  <c r="O26" i="5"/>
  <c r="O22" i="5"/>
  <c r="M32" i="11" l="1"/>
  <c r="M14" i="11" l="1"/>
  <c r="P19" i="5" l="1"/>
  <c r="N56" i="8" l="1"/>
  <c r="N60" i="8"/>
  <c r="N64" i="8"/>
  <c r="O39" i="11" l="1"/>
  <c r="O44" i="11"/>
  <c r="O49" i="11" l="1"/>
  <c r="O37" i="11" l="1"/>
  <c r="O32" i="11"/>
  <c r="O33" i="11" l="1"/>
  <c r="P44" i="8"/>
  <c r="P41" i="8"/>
  <c r="P38" i="8"/>
  <c r="P35" i="8"/>
  <c r="P32" i="8"/>
  <c r="P29" i="8"/>
  <c r="P26" i="8"/>
  <c r="P23" i="8"/>
  <c r="R27" i="5"/>
  <c r="R23" i="5"/>
  <c r="N22" i="5" l="1"/>
  <c r="P17" i="8"/>
  <c r="P47" i="8" s="1"/>
  <c r="P63" i="8" s="1"/>
  <c r="N26" i="5"/>
  <c r="P33" i="8"/>
  <c r="P45" i="8"/>
  <c r="P27" i="8"/>
  <c r="P20" i="8"/>
  <c r="P39" i="8"/>
  <c r="M33" i="8"/>
  <c r="M27" i="8"/>
  <c r="M39" i="8"/>
  <c r="M45" i="8"/>
  <c r="M20" i="8"/>
  <c r="M17" i="8"/>
  <c r="P55" i="8" l="1"/>
  <c r="P59" i="8"/>
  <c r="P21" i="8"/>
  <c r="M47" i="8"/>
  <c r="M59" i="8" s="1"/>
  <c r="M21" i="8"/>
  <c r="M63" i="8" l="1"/>
  <c r="M55" i="8"/>
  <c r="R19" i="5"/>
  <c r="N18" i="5" l="1"/>
  <c r="L14" i="11"/>
  <c r="O14" i="11" s="1"/>
  <c r="O15" i="11" l="1"/>
  <c r="O35" i="11" l="1"/>
  <c r="P65" i="8" l="1"/>
  <c r="P61" i="8"/>
  <c r="P57" i="8"/>
  <c r="Q65" i="8"/>
  <c r="Q61" i="8"/>
  <c r="Q57" i="8"/>
  <c r="M56" i="8" l="1"/>
  <c r="M60" i="8"/>
  <c r="M64" i="8"/>
  <c r="I14" i="11" l="1"/>
  <c r="J49" i="11"/>
  <c r="J37" i="11" l="1"/>
  <c r="K14" i="11" l="1"/>
  <c r="L6" i="5" l="1"/>
  <c r="Q42" i="8" l="1"/>
  <c r="Q36" i="8"/>
  <c r="Q30" i="8"/>
  <c r="Q24" i="8"/>
  <c r="L20" i="8" l="1"/>
  <c r="L27" i="8"/>
  <c r="L45" i="8"/>
  <c r="L39" i="8"/>
  <c r="L33" i="8"/>
  <c r="L17" i="8"/>
  <c r="Q18" i="8" s="1"/>
  <c r="L21" i="8" l="1"/>
  <c r="J13" i="11" l="1"/>
  <c r="J12" i="11"/>
  <c r="P27" i="5"/>
  <c r="P23" i="5"/>
  <c r="M18" i="5"/>
  <c r="Q27" i="5"/>
  <c r="Q23" i="5"/>
  <c r="Q19" i="5"/>
  <c r="M22" i="5" l="1"/>
  <c r="M26" i="5"/>
  <c r="L47" i="8" l="1"/>
  <c r="J40" i="11"/>
  <c r="E40" i="11"/>
  <c r="E47" i="11"/>
  <c r="H14" i="11"/>
  <c r="G14" i="11"/>
  <c r="F14" i="11"/>
  <c r="F33" i="11"/>
  <c r="I30" i="11"/>
  <c r="D30" i="11"/>
  <c r="D31" i="11"/>
  <c r="C31" i="11"/>
  <c r="B31" i="11"/>
  <c r="K60" i="8" l="1"/>
  <c r="O61" i="8"/>
  <c r="K64" i="8"/>
  <c r="O65" i="8"/>
  <c r="K56" i="8"/>
  <c r="O57" i="8"/>
  <c r="J32" i="11"/>
  <c r="E23" i="11"/>
  <c r="J47" i="11"/>
  <c r="J33" i="11"/>
  <c r="J39" i="11"/>
  <c r="L59" i="8"/>
  <c r="L63" i="8"/>
  <c r="L55" i="8"/>
  <c r="J23" i="11"/>
  <c r="J14" i="11"/>
  <c r="J38" i="11"/>
  <c r="J44" i="11"/>
  <c r="J43" i="11"/>
  <c r="G31" i="11"/>
  <c r="E33" i="11"/>
  <c r="E39" i="11"/>
  <c r="E43" i="11"/>
  <c r="E13" i="11"/>
  <c r="E38" i="11"/>
  <c r="E44" i="11"/>
  <c r="E32" i="11"/>
  <c r="H31" i="11"/>
  <c r="G30" i="11"/>
  <c r="I31" i="11"/>
  <c r="H30" i="11"/>
  <c r="E12" i="11"/>
  <c r="B30" i="11"/>
  <c r="C30" i="11"/>
  <c r="E14" i="11" l="1"/>
  <c r="K22" i="5" l="1"/>
  <c r="O23" i="5"/>
  <c r="K18" i="5"/>
  <c r="O19" i="5"/>
  <c r="K26" i="5"/>
  <c r="O27" i="5"/>
  <c r="O42" i="8"/>
  <c r="O36" i="8"/>
  <c r="O30" i="8"/>
  <c r="O24" i="8"/>
  <c r="J33" i="8" l="1"/>
  <c r="J27" i="8"/>
  <c r="J45" i="8"/>
  <c r="J39" i="8"/>
  <c r="J17" i="8"/>
  <c r="O18" i="8" s="1"/>
  <c r="J20" i="8"/>
  <c r="J21" i="8" l="1"/>
  <c r="J47" i="8"/>
  <c r="J63" i="8" l="1"/>
  <c r="J59" i="8"/>
  <c r="J55" i="8"/>
  <c r="G22" i="11" l="1"/>
  <c r="D22" i="11"/>
  <c r="C22" i="11"/>
  <c r="B22" i="11"/>
  <c r="G27" i="10" l="1"/>
  <c r="G22" i="10"/>
  <c r="D19" i="10"/>
  <c r="B22" i="10"/>
  <c r="B14" i="10"/>
  <c r="G25" i="10"/>
  <c r="G10" i="10"/>
  <c r="C22" i="10"/>
  <c r="B25" i="10"/>
  <c r="C14" i="10"/>
  <c r="D14" i="10"/>
  <c r="G14" i="10"/>
  <c r="G19" i="10"/>
  <c r="C25" i="10"/>
  <c r="B19" i="10"/>
  <c r="D25" i="10"/>
  <c r="C19" i="10"/>
  <c r="D22" i="10"/>
  <c r="B15" i="10" l="1"/>
  <c r="M23" i="5"/>
  <c r="B29" i="10"/>
  <c r="B38" i="10" s="1"/>
  <c r="G15" i="10"/>
  <c r="G29" i="10"/>
  <c r="G38" i="10" s="1"/>
  <c r="D29" i="10"/>
  <c r="D15" i="10"/>
  <c r="C29" i="10"/>
  <c r="C15" i="10"/>
  <c r="D9" i="11" l="1"/>
  <c r="D16" i="11" s="1"/>
  <c r="D21" i="11" s="1"/>
  <c r="D24" i="11" s="1"/>
  <c r="D38" i="10"/>
  <c r="D43" i="10" s="1"/>
  <c r="D29" i="11" s="1"/>
  <c r="D52" i="11" s="1"/>
  <c r="C9" i="11"/>
  <c r="C16" i="11" s="1"/>
  <c r="C21" i="11" s="1"/>
  <c r="C24" i="11" s="1"/>
  <c r="C38" i="10"/>
  <c r="B9" i="11"/>
  <c r="B16" i="11" s="1"/>
  <c r="G9" i="11"/>
  <c r="B32" i="10"/>
  <c r="D32" i="10"/>
  <c r="G32" i="10"/>
  <c r="G31" i="10"/>
  <c r="G43" i="10"/>
  <c r="C43" i="10"/>
  <c r="C29" i="11" s="1"/>
  <c r="C52" i="11" s="1"/>
  <c r="C32" i="10"/>
  <c r="B21" i="11" l="1"/>
  <c r="B24" i="11" s="1"/>
  <c r="B43" i="10"/>
  <c r="G16" i="11"/>
  <c r="G21" i="11" s="1"/>
  <c r="G24" i="11" s="1"/>
  <c r="G29" i="11"/>
  <c r="G52" i="11" s="1"/>
  <c r="B49" i="10"/>
  <c r="D53" i="11"/>
  <c r="D55" i="11"/>
  <c r="C17" i="11"/>
  <c r="C53" i="11"/>
  <c r="C55" i="11"/>
  <c r="C25" i="11"/>
  <c r="D17" i="11"/>
  <c r="D25" i="11"/>
  <c r="B17" i="11"/>
  <c r="B44" i="10"/>
  <c r="B48" i="10"/>
  <c r="C48" i="10"/>
  <c r="C44" i="10"/>
  <c r="C49" i="10"/>
  <c r="D48" i="10"/>
  <c r="D44" i="10"/>
  <c r="D49" i="10"/>
  <c r="G49" i="10"/>
  <c r="G46" i="10"/>
  <c r="G44" i="10"/>
  <c r="G48" i="10"/>
  <c r="B25" i="11" l="1"/>
  <c r="B29" i="11"/>
  <c r="B52" i="11" s="1"/>
  <c r="G17" i="11"/>
  <c r="G19" i="11" s="1"/>
  <c r="G25" i="11"/>
  <c r="G55" i="11"/>
  <c r="G53" i="11"/>
  <c r="B53" i="11" l="1"/>
  <c r="B55" i="11"/>
  <c r="G27" i="11"/>
  <c r="J64" i="8" l="1"/>
  <c r="N65" i="8"/>
  <c r="J56" i="8"/>
  <c r="N57" i="8"/>
  <c r="J60" i="8"/>
  <c r="N61" i="8"/>
  <c r="N24" i="8" l="1"/>
  <c r="N36" i="8"/>
  <c r="N30" i="8"/>
  <c r="N42" i="8"/>
  <c r="I33" i="8"/>
  <c r="I39" i="8"/>
  <c r="I27" i="8"/>
  <c r="I45" i="8"/>
  <c r="I17" i="8"/>
  <c r="I20" i="8"/>
  <c r="N18" i="8" l="1"/>
  <c r="I47" i="8"/>
  <c r="I21" i="8"/>
  <c r="I63" i="8" l="1"/>
  <c r="I55" i="8"/>
  <c r="I59" i="8"/>
  <c r="J26" i="5" l="1"/>
  <c r="N27" i="5"/>
  <c r="J22" i="5"/>
  <c r="N23" i="5"/>
  <c r="J18" i="5" l="1"/>
  <c r="N19" i="5"/>
  <c r="I56" i="8" l="1"/>
  <c r="M57" i="8"/>
  <c r="I60" i="8"/>
  <c r="M61" i="8"/>
  <c r="I64" i="8"/>
  <c r="M65" i="8"/>
  <c r="I22" i="5" l="1"/>
  <c r="M19" i="5" l="1"/>
  <c r="M27" i="5"/>
  <c r="I18" i="5"/>
  <c r="I26" i="5"/>
  <c r="L65" i="8" l="1"/>
  <c r="L61" i="8"/>
  <c r="L57" i="8"/>
  <c r="H60" i="8" l="1"/>
  <c r="K61" i="8"/>
  <c r="H56" i="8"/>
  <c r="K57" i="8"/>
  <c r="H64" i="8"/>
  <c r="K65" i="8"/>
  <c r="G6" i="5" l="1"/>
  <c r="L42" i="8" l="1"/>
  <c r="L36" i="8"/>
  <c r="L30" i="8"/>
  <c r="L24" i="8"/>
  <c r="L27" i="5"/>
  <c r="L23" i="5"/>
  <c r="L19" i="5"/>
  <c r="K23" i="5"/>
  <c r="H26" i="5" l="1"/>
  <c r="K27" i="5"/>
  <c r="H18" i="5"/>
  <c r="K19" i="5"/>
  <c r="H22" i="5"/>
  <c r="G45" i="8" l="1"/>
  <c r="G39" i="8"/>
  <c r="G33" i="8"/>
  <c r="G27" i="8"/>
  <c r="G17" i="8"/>
  <c r="L18" i="8" s="1"/>
  <c r="G47" i="8" l="1"/>
  <c r="G55" i="8" s="1"/>
  <c r="G59" i="8" l="1"/>
  <c r="G63" i="8"/>
  <c r="F56" i="8" l="1"/>
  <c r="F60" i="8"/>
  <c r="F64" i="8"/>
  <c r="J57" i="8"/>
  <c r="J61" i="8"/>
  <c r="J65" i="8"/>
  <c r="J27" i="5" l="1"/>
  <c r="J19" i="5"/>
  <c r="F22" i="5" l="1"/>
  <c r="J23" i="5"/>
  <c r="F18" i="5"/>
  <c r="F26" i="5"/>
  <c r="E56" i="8" l="1"/>
  <c r="E60" i="8"/>
  <c r="E64" i="8"/>
  <c r="I57" i="8"/>
  <c r="I61" i="8"/>
  <c r="I65" i="8"/>
  <c r="E18" i="5" l="1"/>
  <c r="I19" i="5"/>
  <c r="E22" i="5"/>
  <c r="I23" i="5"/>
  <c r="E26" i="5"/>
  <c r="I27" i="5"/>
  <c r="D64" i="8" l="1"/>
  <c r="D60" i="8"/>
  <c r="D56" i="8"/>
  <c r="H57" i="8" l="1"/>
  <c r="H61" i="8"/>
  <c r="H65" i="8"/>
  <c r="D26" i="5" l="1"/>
  <c r="H27" i="5"/>
  <c r="D18" i="5"/>
  <c r="H19" i="5"/>
  <c r="D22" i="5"/>
  <c r="H23" i="5"/>
  <c r="J42" i="8" l="1"/>
  <c r="J36" i="8"/>
  <c r="J30" i="8"/>
  <c r="J24" i="8"/>
  <c r="E17" i="8" l="1"/>
  <c r="J18" i="8" l="1"/>
  <c r="E47" i="8"/>
  <c r="E55" i="8" l="1"/>
  <c r="E63" i="8"/>
  <c r="E59" i="8"/>
  <c r="E39" i="8" l="1"/>
  <c r="E33" i="8"/>
  <c r="E45" i="8"/>
  <c r="E27" i="8" l="1"/>
  <c r="E20" i="8"/>
  <c r="E21" i="8" l="1"/>
  <c r="C17" i="8" l="1"/>
  <c r="C47" i="8" l="1"/>
  <c r="C63" i="8" l="1"/>
  <c r="C59" i="8"/>
  <c r="C55" i="8"/>
  <c r="C45" i="8" l="1"/>
  <c r="C33" i="8" l="1"/>
  <c r="C39" i="8" l="1"/>
  <c r="C20" i="8" l="1"/>
  <c r="C27" i="8"/>
  <c r="C21" i="8" l="1"/>
  <c r="I42" i="8" l="1"/>
  <c r="F41" i="8"/>
  <c r="I24" i="8" l="1"/>
  <c r="I36" i="8"/>
  <c r="I30" i="8"/>
  <c r="F23" i="8"/>
  <c r="F29" i="8"/>
  <c r="F35" i="8"/>
  <c r="D17" i="8"/>
  <c r="I18" i="8" l="1"/>
  <c r="F17" i="8"/>
  <c r="D47" i="8"/>
  <c r="F47" i="8" l="1"/>
  <c r="D59" i="8"/>
  <c r="D63" i="8"/>
  <c r="D55" i="8"/>
  <c r="F55" i="8" l="1"/>
  <c r="F63" i="8"/>
  <c r="F59" i="8"/>
  <c r="F32" i="8" l="1"/>
  <c r="F44" i="8"/>
  <c r="D33" i="8"/>
  <c r="D39" i="8"/>
  <c r="D45" i="8"/>
  <c r="F45" i="8" l="1"/>
  <c r="F33" i="8"/>
  <c r="F26" i="8" l="1"/>
  <c r="D27" i="8"/>
  <c r="D20" i="8"/>
  <c r="F27" i="8" l="1"/>
  <c r="D21" i="8"/>
  <c r="G20" i="8" l="1"/>
  <c r="F38" i="8"/>
  <c r="F20" i="8" l="1"/>
  <c r="G21" i="8"/>
  <c r="F39" i="8"/>
  <c r="F21" i="8" l="1"/>
  <c r="M30" i="8" l="1"/>
  <c r="M36" i="8"/>
  <c r="M42" i="8"/>
  <c r="K29" i="8"/>
  <c r="K35" i="8"/>
  <c r="K41" i="8"/>
  <c r="H30" i="8"/>
  <c r="H36" i="8"/>
  <c r="H42" i="8"/>
  <c r="P42" i="8" l="1"/>
  <c r="M24" i="8"/>
  <c r="P36" i="8"/>
  <c r="P30" i="8"/>
  <c r="K36" i="8"/>
  <c r="K30" i="8"/>
  <c r="K42" i="8"/>
  <c r="K23" i="8"/>
  <c r="H17" i="8"/>
  <c r="H24" i="8"/>
  <c r="P24" i="8" l="1"/>
  <c r="M18" i="8"/>
  <c r="K17" i="8"/>
  <c r="K24" i="8"/>
  <c r="H47" i="8"/>
  <c r="H18" i="8"/>
  <c r="P18" i="8" l="1"/>
  <c r="K18" i="8"/>
  <c r="K47" i="8"/>
  <c r="H63" i="8"/>
  <c r="H59" i="8"/>
  <c r="H55" i="8"/>
  <c r="K59" i="8" l="1"/>
  <c r="K63" i="8"/>
  <c r="K55" i="8"/>
  <c r="K38" i="8" l="1"/>
  <c r="K44" i="8"/>
  <c r="H39" i="8"/>
  <c r="H45" i="8"/>
  <c r="K45" i="8" l="1"/>
  <c r="K39" i="8"/>
  <c r="K32" i="8"/>
  <c r="H33" i="8"/>
  <c r="K33" i="8" l="1"/>
  <c r="K26" i="8"/>
  <c r="H27" i="8"/>
  <c r="H20" i="8"/>
  <c r="K27" i="8" l="1"/>
  <c r="K20" i="8"/>
  <c r="H21" i="8"/>
  <c r="K21" i="8" l="1"/>
  <c r="H27" i="10" l="1"/>
  <c r="H22" i="11"/>
  <c r="H22" i="10"/>
  <c r="H10" i="10"/>
  <c r="H25" i="10"/>
  <c r="H14" i="10"/>
  <c r="H9" i="10"/>
  <c r="H19" i="10"/>
  <c r="H29" i="10" l="1"/>
  <c r="H38" i="10" s="1"/>
  <c r="H15" i="10"/>
  <c r="H32" i="10" l="1"/>
  <c r="H31" i="10"/>
  <c r="H30" i="10"/>
  <c r="H9" i="11"/>
  <c r="H16" i="11" s="1"/>
  <c r="H43" i="10" l="1"/>
  <c r="H45" i="10" s="1"/>
  <c r="H21" i="11" l="1"/>
  <c r="H24" i="11" s="1"/>
  <c r="H17" i="11"/>
  <c r="H19" i="11" s="1"/>
  <c r="H49" i="10"/>
  <c r="H29" i="11"/>
  <c r="H52" i="11" s="1"/>
  <c r="H53" i="11" s="1"/>
  <c r="H46" i="10"/>
  <c r="H44" i="10"/>
  <c r="H48" i="10"/>
  <c r="H18" i="11" l="1"/>
  <c r="H25" i="11"/>
  <c r="H55" i="11"/>
  <c r="H27" i="11" l="1"/>
  <c r="H26" i="11"/>
  <c r="I22" i="11" l="1"/>
  <c r="I25" i="10"/>
  <c r="I10" i="10"/>
  <c r="I9" i="10"/>
  <c r="I14" i="10" l="1"/>
  <c r="I22" i="10"/>
  <c r="I27" i="10"/>
  <c r="I15" i="10" l="1"/>
  <c r="I19" i="10"/>
  <c r="I29" i="10" l="1"/>
  <c r="I38" i="10" s="1"/>
  <c r="I31" i="10" l="1"/>
  <c r="I30" i="10"/>
  <c r="I9" i="11"/>
  <c r="I16" i="11" s="1"/>
  <c r="I32" i="10"/>
  <c r="I43" i="10" l="1"/>
  <c r="I21" i="11"/>
  <c r="I44" i="10" l="1"/>
  <c r="I45" i="10"/>
  <c r="I46" i="10"/>
  <c r="I48" i="10"/>
  <c r="I49" i="10"/>
  <c r="I17" i="11"/>
  <c r="I19" i="11" s="1"/>
  <c r="I24" i="11"/>
  <c r="I29" i="11"/>
  <c r="I18" i="11" l="1"/>
  <c r="I52" i="11"/>
  <c r="I25" i="11"/>
  <c r="I27" i="11" l="1"/>
  <c r="I26" i="11"/>
  <c r="I55" i="11"/>
  <c r="I53" i="11"/>
  <c r="I57" i="11" l="1"/>
  <c r="I56" i="11"/>
  <c r="J34" i="10" l="1"/>
  <c r="J41" i="10" l="1"/>
  <c r="K31" i="11" l="1"/>
  <c r="J10" i="11"/>
  <c r="J31" i="11" l="1"/>
  <c r="K27" i="10" l="1"/>
  <c r="J13" i="10"/>
  <c r="J35" i="10"/>
  <c r="K22" i="10"/>
  <c r="K14" i="10"/>
  <c r="J8" i="10"/>
  <c r="K19" i="10"/>
  <c r="J18" i="10"/>
  <c r="J21" i="10"/>
  <c r="K22" i="11"/>
  <c r="K25" i="10"/>
  <c r="J24" i="10"/>
  <c r="J27" i="10" l="1"/>
  <c r="J22" i="10"/>
  <c r="J25" i="10"/>
  <c r="J19" i="10"/>
  <c r="J9" i="10"/>
  <c r="J14" i="10"/>
  <c r="K15" i="10"/>
  <c r="K29" i="10"/>
  <c r="K38" i="10" s="1"/>
  <c r="J22" i="11"/>
  <c r="J15" i="10" l="1"/>
  <c r="K32" i="10"/>
  <c r="K9" i="11"/>
  <c r="J29" i="10"/>
  <c r="J38" i="10" s="1"/>
  <c r="J9" i="11" l="1"/>
  <c r="J32" i="10"/>
  <c r="J30" i="10"/>
  <c r="K16" i="11" l="1"/>
  <c r="K30" i="11" l="1"/>
  <c r="J11" i="11"/>
  <c r="J16" i="11" s="1"/>
  <c r="K21" i="11"/>
  <c r="J21" i="11" l="1"/>
  <c r="K17" i="11"/>
  <c r="K24" i="11"/>
  <c r="J30" i="11"/>
  <c r="J24" i="11" l="1"/>
  <c r="J17" i="11"/>
  <c r="K25" i="11"/>
  <c r="J18" i="11" l="1"/>
  <c r="J25" i="11"/>
  <c r="J26" i="11" l="1"/>
  <c r="J40" i="10"/>
  <c r="K43" i="10"/>
  <c r="J43" i="10" l="1"/>
  <c r="K29" i="11"/>
  <c r="K48" i="10"/>
  <c r="K44" i="10"/>
  <c r="K49" i="10"/>
  <c r="J44" i="10" l="1"/>
  <c r="J49" i="10"/>
  <c r="J48" i="10"/>
  <c r="J45" i="10"/>
  <c r="J29" i="11"/>
  <c r="K52" i="11"/>
  <c r="J52" i="11" l="1"/>
  <c r="J55" i="11" s="1"/>
  <c r="K55" i="11"/>
  <c r="K53" i="11"/>
  <c r="J53" i="11" l="1"/>
  <c r="J56" i="11"/>
  <c r="L31" i="11" l="1"/>
  <c r="L9" i="10" l="1"/>
  <c r="L14" i="10"/>
  <c r="L10" i="10"/>
  <c r="L15" i="10" l="1"/>
  <c r="L27" i="10" l="1"/>
  <c r="L25" i="10"/>
  <c r="L22" i="11"/>
  <c r="L19" i="10"/>
  <c r="L22" i="10"/>
  <c r="L29" i="10" l="1"/>
  <c r="L38" i="10" s="1"/>
  <c r="L9" i="11" l="1"/>
  <c r="L30" i="10"/>
  <c r="L32" i="10"/>
  <c r="L31" i="10"/>
  <c r="L43" i="10" l="1"/>
  <c r="L44" i="10" l="1"/>
  <c r="L49" i="10"/>
  <c r="L45" i="10"/>
  <c r="L46" i="10"/>
  <c r="L29" i="11"/>
  <c r="L48" i="10"/>
  <c r="L16" i="11" l="1"/>
  <c r="L30" i="11" l="1"/>
  <c r="L21" i="11" l="1"/>
  <c r="L17" i="11"/>
  <c r="L52" i="11"/>
  <c r="L24" i="11" l="1"/>
  <c r="L25" i="11" s="1"/>
  <c r="L19" i="11"/>
  <c r="L18" i="11"/>
  <c r="L53" i="11"/>
  <c r="L55" i="11"/>
  <c r="L27" i="11" l="1"/>
  <c r="L26" i="11"/>
  <c r="L56" i="11"/>
  <c r="L57" i="11"/>
  <c r="M31" i="11" l="1"/>
  <c r="M27" i="10" l="1"/>
  <c r="M22" i="10"/>
  <c r="M19" i="10"/>
  <c r="M22" i="11"/>
  <c r="M25" i="10"/>
  <c r="M14" i="10"/>
  <c r="M9" i="10"/>
  <c r="M10" i="10"/>
  <c r="M15" i="10" l="1"/>
  <c r="M29" i="10"/>
  <c r="M38" i="10" s="1"/>
  <c r="M30" i="10" l="1"/>
  <c r="M31" i="10"/>
  <c r="M32" i="10"/>
  <c r="M9" i="11"/>
  <c r="M43" i="10" l="1"/>
  <c r="M29" i="11" l="1"/>
  <c r="M46" i="10"/>
  <c r="M45" i="10"/>
  <c r="M49" i="10"/>
  <c r="M44" i="10"/>
  <c r="M48" i="10"/>
  <c r="M16" i="11" l="1"/>
  <c r="M30" i="11" l="1"/>
  <c r="M21" i="11"/>
  <c r="M24" i="11" l="1"/>
  <c r="M17" i="11"/>
  <c r="M52" i="11"/>
  <c r="M19" i="11" l="1"/>
  <c r="M18" i="11"/>
  <c r="M25" i="11"/>
  <c r="M53" i="11"/>
  <c r="M55" i="11"/>
  <c r="M27" i="11" l="1"/>
  <c r="M26" i="11"/>
  <c r="M57" i="11"/>
  <c r="M56" i="11"/>
  <c r="O43" i="11" l="1"/>
  <c r="E41" i="10" l="1"/>
  <c r="E35" i="10"/>
  <c r="E34" i="10"/>
  <c r="E13" i="10"/>
  <c r="F27" i="10" l="1"/>
  <c r="E18" i="10"/>
  <c r="F19" i="10"/>
  <c r="F22" i="10"/>
  <c r="E21" i="10"/>
  <c r="F14" i="10"/>
  <c r="E8" i="10"/>
  <c r="K10" i="10"/>
  <c r="E24" i="10"/>
  <c r="F25" i="10"/>
  <c r="E27" i="10" l="1"/>
  <c r="E22" i="10"/>
  <c r="F29" i="10"/>
  <c r="F38" i="10" s="1"/>
  <c r="F15" i="10"/>
  <c r="E25" i="10"/>
  <c r="G9" i="10"/>
  <c r="E14" i="10"/>
  <c r="J10" i="10"/>
  <c r="E19" i="10"/>
  <c r="E15" i="10" l="1"/>
  <c r="E29" i="10"/>
  <c r="F32" i="10"/>
  <c r="F9" i="11"/>
  <c r="K31" i="10"/>
  <c r="E38" i="10" l="1"/>
  <c r="E9" i="11"/>
  <c r="E32" i="10"/>
  <c r="G30" i="10"/>
  <c r="J31" i="10"/>
  <c r="F31" i="11" l="1"/>
  <c r="E31" i="11" s="1"/>
  <c r="E10" i="11"/>
  <c r="F22" i="11"/>
  <c r="E22" i="11" s="1"/>
  <c r="F16" i="11" l="1"/>
  <c r="F30" i="11" l="1"/>
  <c r="E30" i="11" s="1"/>
  <c r="E11" i="11"/>
  <c r="F21" i="11"/>
  <c r="E16" i="11" l="1"/>
  <c r="F24" i="11"/>
  <c r="F17" i="11"/>
  <c r="E21" i="11" l="1"/>
  <c r="K19" i="11"/>
  <c r="F25" i="11"/>
  <c r="E17" i="11"/>
  <c r="E24" i="11" l="1"/>
  <c r="K27" i="11"/>
  <c r="G18" i="11"/>
  <c r="J19" i="11"/>
  <c r="E25" i="11" l="1"/>
  <c r="J27" i="11" l="1"/>
  <c r="G26" i="11"/>
  <c r="E40" i="10" l="1"/>
  <c r="F43" i="10"/>
  <c r="F48" i="10" l="1"/>
  <c r="F29" i="11"/>
  <c r="F52" i="11" s="1"/>
  <c r="F44" i="10"/>
  <c r="F49" i="10"/>
  <c r="K46" i="10"/>
  <c r="E43" i="10"/>
  <c r="E49" i="10" l="1"/>
  <c r="G45" i="10"/>
  <c r="E48" i="10"/>
  <c r="E29" i="11"/>
  <c r="E44" i="10"/>
  <c r="J46" i="10"/>
  <c r="F55" i="11"/>
  <c r="K57" i="11" s="1"/>
  <c r="F53" i="11"/>
  <c r="E52" i="11" l="1"/>
  <c r="E53" i="11" l="1"/>
  <c r="E55" i="11"/>
  <c r="J57" i="11" l="1"/>
  <c r="O14" i="14" l="1"/>
  <c r="O18" i="14"/>
  <c r="O26" i="14"/>
  <c r="O30" i="14"/>
  <c r="O28" i="14"/>
  <c r="O25" i="14"/>
  <c r="O21" i="14"/>
  <c r="L34" i="13" l="1"/>
  <c r="L40" i="13" s="1"/>
  <c r="L51" i="13" s="1"/>
  <c r="J34" i="13"/>
  <c r="J40" i="13" s="1"/>
  <c r="J51" i="13" s="1"/>
  <c r="I34" i="13"/>
  <c r="I40" i="13" s="1"/>
  <c r="I51" i="13" s="1"/>
  <c r="G34" i="13"/>
  <c r="G40" i="13" s="1"/>
  <c r="G51" i="13" s="1"/>
  <c r="F34" i="13"/>
  <c r="F40" i="13" s="1"/>
  <c r="F51" i="13" s="1"/>
  <c r="D34" i="13"/>
  <c r="D40" i="13" s="1"/>
  <c r="D51" i="13" s="1"/>
  <c r="K34" i="13" l="1"/>
  <c r="K40" i="13" s="1"/>
  <c r="K51" i="13" s="1"/>
  <c r="E34" i="13"/>
  <c r="E40" i="13" s="1"/>
  <c r="E51" i="13" s="1"/>
  <c r="H34" i="13"/>
  <c r="H40" i="13" s="1"/>
  <c r="H51" i="13" s="1"/>
  <c r="C34" i="13" l="1"/>
  <c r="C40" i="13" s="1"/>
  <c r="C51" i="13" l="1"/>
  <c r="O11" i="14" l="1"/>
  <c r="M13" i="13" l="1"/>
  <c r="M24" i="13" l="1"/>
  <c r="M34" i="13" l="1"/>
  <c r="M40" i="13" l="1"/>
  <c r="M49" i="13" l="1"/>
  <c r="M51" i="13" l="1"/>
  <c r="O38" i="14" l="1"/>
  <c r="N53" i="14" l="1"/>
  <c r="N19" i="10" l="1"/>
  <c r="N10" i="10"/>
  <c r="N27" i="10"/>
  <c r="N9" i="10"/>
  <c r="N25" i="10"/>
  <c r="N22" i="10"/>
  <c r="N14" i="10"/>
  <c r="N15" i="10" l="1"/>
  <c r="N29" i="10"/>
  <c r="N9" i="11" l="1"/>
  <c r="N31" i="10"/>
  <c r="N32" i="10"/>
  <c r="N30" i="10"/>
  <c r="N30" i="11" l="1"/>
  <c r="N16" i="11" l="1"/>
  <c r="N31" i="11"/>
  <c r="N22" i="11"/>
  <c r="N21" i="11" l="1"/>
  <c r="N17" i="11"/>
  <c r="N24" i="11" l="1"/>
  <c r="N18" i="11"/>
  <c r="N19" i="11"/>
  <c r="N25" i="11" l="1"/>
  <c r="N27" i="11" l="1"/>
  <c r="N26" i="11"/>
  <c r="N38" i="10" l="1"/>
  <c r="N43" i="10" l="1"/>
  <c r="N44" i="10" s="1"/>
  <c r="N46" i="10" l="1"/>
  <c r="N48" i="10"/>
  <c r="N49" i="10"/>
  <c r="N29" i="11"/>
  <c r="N45" i="10"/>
  <c r="N52" i="11"/>
  <c r="N55" i="11" l="1"/>
  <c r="N56" i="11" s="1"/>
  <c r="N53" i="11"/>
  <c r="N57" i="11" l="1"/>
  <c r="N42" i="14" l="1"/>
  <c r="N33" i="14" l="1"/>
  <c r="N57" i="14" l="1"/>
  <c r="N59" i="14" l="1"/>
  <c r="O58" i="14" s="1"/>
  <c r="T67" i="16" l="1"/>
  <c r="T74" i="16"/>
  <c r="T81" i="16"/>
  <c r="S9" i="16"/>
  <c r="S79" i="16"/>
  <c r="S81" i="16"/>
  <c r="S72" i="16"/>
  <c r="S74" i="16"/>
  <c r="S84" i="16"/>
  <c r="S65" i="16"/>
  <c r="S67" i="16"/>
  <c r="S18" i="16"/>
  <c r="S14" i="16"/>
  <c r="S26" i="16" l="1"/>
  <c r="S64" i="16"/>
  <c r="S78" i="16"/>
  <c r="S71" i="16"/>
  <c r="S31" i="16" l="1"/>
  <c r="R31" i="11" l="1"/>
  <c r="R30" i="11" l="1"/>
  <c r="R22" i="10" l="1"/>
  <c r="R19" i="10"/>
  <c r="R27" i="10"/>
  <c r="R14" i="10"/>
  <c r="R10" i="10"/>
  <c r="R22" i="11"/>
  <c r="R25" i="10"/>
  <c r="R15" i="10" l="1"/>
  <c r="R29" i="10"/>
  <c r="R9" i="11" l="1"/>
  <c r="R32" i="10"/>
  <c r="R31" i="10"/>
  <c r="R16" i="11" l="1"/>
  <c r="R21" i="11" s="1"/>
  <c r="R17" i="11" l="1"/>
  <c r="R24" i="11"/>
  <c r="R19" i="11" l="1"/>
  <c r="R25" i="11"/>
  <c r="R27" i="11" l="1"/>
  <c r="R38" i="10" l="1"/>
  <c r="P34" i="13" l="1"/>
  <c r="P40" i="13" l="1"/>
  <c r="R43" i="10" l="1"/>
  <c r="P13" i="13" l="1"/>
  <c r="R29" i="11"/>
  <c r="R44" i="10"/>
  <c r="R48" i="10"/>
  <c r="R46" i="10"/>
  <c r="R49" i="10"/>
  <c r="R52" i="11" l="1"/>
  <c r="R53" i="11" s="1"/>
  <c r="P24" i="13"/>
  <c r="R55" i="11" l="1"/>
  <c r="R57" i="11" l="1"/>
  <c r="P49" i="13" l="1"/>
  <c r="P51" i="13" l="1"/>
  <c r="T9" i="16" l="1"/>
  <c r="T14" i="16"/>
  <c r="T18" i="16"/>
  <c r="T28" i="14" l="1"/>
  <c r="T21" i="14"/>
  <c r="T44" i="11" l="1"/>
  <c r="T43" i="11" l="1"/>
  <c r="O41" i="10" l="1"/>
  <c r="O13" i="10" l="1"/>
  <c r="P31" i="11" l="1"/>
  <c r="O31" i="11" s="1"/>
  <c r="O10" i="11"/>
  <c r="O12" i="14"/>
  <c r="O51" i="14" l="1"/>
  <c r="O52" i="14" l="1"/>
  <c r="O49" i="14"/>
  <c r="O47" i="14"/>
  <c r="O46" i="14"/>
  <c r="O37" i="14"/>
  <c r="O32" i="14"/>
  <c r="O31" i="14"/>
  <c r="O27" i="14"/>
  <c r="O24" i="14"/>
  <c r="O48" i="14" l="1"/>
  <c r="O36" i="14"/>
  <c r="O45" i="14"/>
  <c r="P53" i="14"/>
  <c r="O16" i="14"/>
  <c r="O20" i="14"/>
  <c r="O10" i="14"/>
  <c r="O17" i="14"/>
  <c r="O53" i="14" l="1"/>
  <c r="P10" i="10" l="1"/>
  <c r="P14" i="10"/>
  <c r="O8" i="10"/>
  <c r="O40" i="10"/>
  <c r="O35" i="10"/>
  <c r="O34" i="10"/>
  <c r="O14" i="10" l="1"/>
  <c r="O10" i="10"/>
  <c r="O9" i="10"/>
  <c r="P15" i="10"/>
  <c r="O15" i="10" l="1"/>
  <c r="N34" i="13" l="1"/>
  <c r="N49" i="13"/>
  <c r="N13" i="13"/>
  <c r="P27" i="10"/>
  <c r="P29" i="10" s="1"/>
  <c r="P38" i="10" s="1"/>
  <c r="P19" i="10"/>
  <c r="O18" i="10"/>
  <c r="O21" i="10"/>
  <c r="P22" i="10"/>
  <c r="O24" i="10"/>
  <c r="P22" i="11"/>
  <c r="P25" i="10"/>
  <c r="O25" i="10" l="1"/>
  <c r="O22" i="11"/>
  <c r="O27" i="10"/>
  <c r="O19" i="10"/>
  <c r="N24" i="13"/>
  <c r="P9" i="11"/>
  <c r="P32" i="10"/>
  <c r="P31" i="10"/>
  <c r="P43" i="10"/>
  <c r="O22" i="10"/>
  <c r="N40" i="13"/>
  <c r="N51" i="13" l="1"/>
  <c r="O29" i="10"/>
  <c r="P49" i="10"/>
  <c r="P29" i="11"/>
  <c r="P46" i="10"/>
  <c r="P48" i="10"/>
  <c r="P44" i="10"/>
  <c r="O38" i="10" l="1"/>
  <c r="O32" i="10"/>
  <c r="O30" i="10"/>
  <c r="O9" i="11"/>
  <c r="O31" i="10"/>
  <c r="O43" i="10" l="1"/>
  <c r="O29" i="11" l="1"/>
  <c r="O48" i="10"/>
  <c r="O44" i="10"/>
  <c r="O45" i="10"/>
  <c r="O46" i="10"/>
  <c r="O49" i="10"/>
  <c r="P16" i="11" l="1"/>
  <c r="O11" i="11" l="1"/>
  <c r="P30" i="11"/>
  <c r="O16" i="11" l="1"/>
  <c r="P21" i="11"/>
  <c r="P24" i="11" s="1"/>
  <c r="P25" i="11" s="1"/>
  <c r="P17" i="11"/>
  <c r="O30" i="11"/>
  <c r="P52" i="11"/>
  <c r="O17" i="11" l="1"/>
  <c r="O21" i="11"/>
  <c r="P53" i="11"/>
  <c r="P55" i="11"/>
  <c r="O52" i="11"/>
  <c r="P19" i="11"/>
  <c r="P27" i="11"/>
  <c r="O55" i="11" l="1"/>
  <c r="O53" i="11"/>
  <c r="P57" i="11"/>
  <c r="O24" i="11"/>
  <c r="O19" i="11"/>
  <c r="O18" i="11"/>
  <c r="O25" i="11" l="1"/>
  <c r="O57" i="11"/>
  <c r="O56" i="11"/>
  <c r="O27" i="11" l="1"/>
  <c r="O26" i="11"/>
  <c r="O8" i="14" l="1"/>
  <c r="O15" i="14" l="1"/>
  <c r="O55" i="14"/>
  <c r="O39" i="14" l="1"/>
  <c r="O29" i="14" l="1"/>
  <c r="P33" i="14"/>
  <c r="O33" i="14" l="1"/>
  <c r="O41" i="14" l="1"/>
  <c r="O40" i="14" l="1"/>
  <c r="P42" i="14"/>
  <c r="P57" i="14" s="1"/>
  <c r="P59" i="14" s="1"/>
  <c r="U58" i="14" l="1"/>
  <c r="O42" i="14"/>
  <c r="O57" i="14" l="1"/>
  <c r="O59" i="14" l="1"/>
  <c r="Q58" i="14" l="1"/>
  <c r="Q13" i="13" l="1"/>
  <c r="Q24" i="13" l="1"/>
  <c r="S31" i="11" l="1"/>
  <c r="S30" i="11" l="1"/>
  <c r="S25" i="10" l="1"/>
  <c r="S22" i="11"/>
  <c r="S27" i="10"/>
  <c r="S19" i="10"/>
  <c r="S22" i="10"/>
  <c r="S10" i="10"/>
  <c r="S14" i="10"/>
  <c r="S9" i="10"/>
  <c r="S15" i="10" l="1"/>
  <c r="S29" i="10"/>
  <c r="S32" i="10" l="1"/>
  <c r="S31" i="10"/>
  <c r="S30" i="10"/>
  <c r="S9" i="11"/>
  <c r="S16" i="11" s="1"/>
  <c r="S17" i="11" l="1"/>
  <c r="S21" i="11"/>
  <c r="S19" i="11" l="1"/>
  <c r="S18" i="11"/>
  <c r="S24" i="11"/>
  <c r="S25" i="11" l="1"/>
  <c r="S27" i="11" l="1"/>
  <c r="S26" i="11"/>
  <c r="S38" i="10" l="1"/>
  <c r="S43" i="10" l="1"/>
  <c r="S44" i="10" l="1"/>
  <c r="S49" i="10"/>
  <c r="S46" i="10"/>
  <c r="S48" i="10"/>
  <c r="S29" i="11"/>
  <c r="S45" i="10"/>
  <c r="S52" i="11" l="1"/>
  <c r="S53" i="11" l="1"/>
  <c r="S55" i="11"/>
  <c r="S56" i="11" l="1"/>
  <c r="S57" i="11"/>
  <c r="Q49" i="13" l="1"/>
  <c r="Q34" i="13" l="1"/>
  <c r="Q40" i="13" l="1"/>
  <c r="Q51" i="13" l="1"/>
  <c r="W35" i="16" l="1"/>
  <c r="W53" i="16"/>
  <c r="W47" i="16"/>
  <c r="W41" i="16"/>
  <c r="R53" i="16"/>
  <c r="R47" i="16"/>
  <c r="R35" i="16"/>
  <c r="R58" i="16"/>
  <c r="R41" i="16"/>
  <c r="Q31" i="11" l="1"/>
  <c r="R9" i="10" l="1"/>
  <c r="Q27" i="10"/>
  <c r="Q22" i="11"/>
  <c r="Q25" i="10" l="1"/>
  <c r="Q22" i="10"/>
  <c r="Q9" i="10"/>
  <c r="Q19" i="10"/>
  <c r="Q10" i="10"/>
  <c r="Q14" i="10"/>
  <c r="Q29" i="10" l="1"/>
  <c r="Q15" i="10"/>
  <c r="R30" i="10" l="1"/>
  <c r="Q38" i="10"/>
  <c r="Q30" i="10"/>
  <c r="Q9" i="11"/>
  <c r="Q16" i="11" s="1"/>
  <c r="Q31" i="10"/>
  <c r="Q32" i="10"/>
  <c r="Q43" i="10" l="1"/>
  <c r="O13" i="13"/>
  <c r="Q21" i="11"/>
  <c r="Q17" i="11"/>
  <c r="R45" i="10" l="1"/>
  <c r="Q49" i="10"/>
  <c r="Q46" i="10"/>
  <c r="Q44" i="10"/>
  <c r="Q48" i="10"/>
  <c r="Q45" i="10"/>
  <c r="Q29" i="11"/>
  <c r="Q52" i="11" s="1"/>
  <c r="O24" i="13"/>
  <c r="Q19" i="11"/>
  <c r="R18" i="11"/>
  <c r="Q18" i="11"/>
  <c r="Q24" i="11"/>
  <c r="Q25" i="11" l="1"/>
  <c r="Q53" i="11"/>
  <c r="Q55" i="11"/>
  <c r="Q57" i="11" l="1"/>
  <c r="R56" i="11"/>
  <c r="Q56" i="11"/>
  <c r="Q27" i="11"/>
  <c r="R26" i="11"/>
  <c r="Q26" i="11"/>
  <c r="Q53" i="14" l="1"/>
  <c r="R53" i="14"/>
  <c r="S53" i="14" l="1"/>
  <c r="Q33" i="14" l="1"/>
  <c r="R33" i="14" l="1"/>
  <c r="S33" i="14" l="1"/>
  <c r="R42" i="14" l="1"/>
  <c r="Q42" i="14"/>
  <c r="Q57" i="14" s="1"/>
  <c r="S42" i="14" l="1"/>
  <c r="S57" i="14" s="1"/>
  <c r="R57" i="14"/>
  <c r="Q59" i="14"/>
  <c r="R58" i="14" l="1"/>
  <c r="R59" i="14" l="1"/>
  <c r="S58" i="14" l="1"/>
  <c r="S59" i="14" l="1"/>
  <c r="T58" i="14" l="1"/>
  <c r="O49" i="13" l="1"/>
  <c r="O34" i="13" l="1"/>
  <c r="O40" i="13" l="1"/>
  <c r="O51" i="13" l="1"/>
  <c r="T17" i="14" l="1"/>
  <c r="U8" i="16" l="1"/>
  <c r="V9" i="16"/>
  <c r="U13" i="16"/>
  <c r="V14" i="16"/>
  <c r="V18" i="16"/>
  <c r="V65" i="16"/>
  <c r="U63" i="16"/>
  <c r="V84" i="16"/>
  <c r="U77" i="16"/>
  <c r="V79" i="16"/>
  <c r="U70" i="16"/>
  <c r="V72" i="16"/>
  <c r="V78" i="16" l="1"/>
  <c r="V26" i="16"/>
  <c r="V64" i="16"/>
  <c r="U65" i="16"/>
  <c r="U84" i="16"/>
  <c r="U64" i="16" s="1"/>
  <c r="U67" i="16"/>
  <c r="W67" i="16"/>
  <c r="W74" i="16"/>
  <c r="U72" i="16"/>
  <c r="U74" i="16"/>
  <c r="W81" i="16"/>
  <c r="U81" i="16"/>
  <c r="U79" i="16"/>
  <c r="U14" i="16"/>
  <c r="U18" i="16"/>
  <c r="V71" i="16"/>
  <c r="U9" i="16"/>
  <c r="V31" i="16" l="1"/>
  <c r="U26" i="16"/>
  <c r="U78" i="16"/>
  <c r="U71" i="16"/>
  <c r="U31" i="16" l="1"/>
  <c r="V41" i="16" l="1"/>
  <c r="U40" i="16"/>
  <c r="V35" i="16"/>
  <c r="V58" i="16"/>
  <c r="U34" i="16"/>
  <c r="V47" i="16"/>
  <c r="U46" i="16"/>
  <c r="V53" i="16"/>
  <c r="U52" i="16"/>
  <c r="U47" i="16" l="1"/>
  <c r="U53" i="16"/>
  <c r="U58" i="16"/>
  <c r="U35" i="16"/>
  <c r="U41" i="16"/>
  <c r="T52" i="14" l="1"/>
  <c r="T38" i="14"/>
  <c r="T37" i="14"/>
  <c r="T16" i="14"/>
  <c r="T20" i="14"/>
  <c r="T12" i="14"/>
  <c r="T10" i="14"/>
  <c r="T45" i="14" l="1"/>
  <c r="T41" i="14"/>
  <c r="U31" i="11" l="1"/>
  <c r="T31" i="11" s="1"/>
  <c r="T10" i="11"/>
  <c r="T47" i="14" l="1"/>
  <c r="T32" i="14" l="1"/>
  <c r="T48" i="14"/>
  <c r="T39" i="14" l="1"/>
  <c r="T11" i="11" l="1"/>
  <c r="U30" i="11"/>
  <c r="T30" i="11" l="1"/>
  <c r="T46" i="14" l="1"/>
  <c r="T49" i="14" l="1"/>
  <c r="T51" i="14"/>
  <c r="U53" i="14" l="1"/>
  <c r="T53" i="14"/>
  <c r="T31" i="14" l="1"/>
  <c r="T40" i="14" l="1"/>
  <c r="T27" i="14" l="1"/>
  <c r="T24" i="14" l="1"/>
  <c r="U42" i="14" l="1"/>
  <c r="T36" i="14"/>
  <c r="T42" i="14" l="1"/>
  <c r="T55" i="14" l="1"/>
  <c r="T15" i="14"/>
  <c r="T29" i="14" l="1"/>
  <c r="T41" i="10" l="1"/>
  <c r="T35" i="10" l="1"/>
  <c r="T34" i="10"/>
  <c r="T13" i="10"/>
  <c r="U27" i="10"/>
  <c r="T18" i="10"/>
  <c r="U19" i="10"/>
  <c r="U22" i="10"/>
  <c r="T21" i="10"/>
  <c r="U14" i="10"/>
  <c r="T8" i="10"/>
  <c r="U10" i="10"/>
  <c r="U25" i="10"/>
  <c r="U22" i="11"/>
  <c r="T24" i="10"/>
  <c r="T10" i="10" l="1"/>
  <c r="T9" i="10"/>
  <c r="T14" i="10"/>
  <c r="U29" i="10"/>
  <c r="U38" i="10" s="1"/>
  <c r="U15" i="10"/>
  <c r="T22" i="10"/>
  <c r="T27" i="10"/>
  <c r="T19" i="10"/>
  <c r="T25" i="10"/>
  <c r="T22" i="11"/>
  <c r="U9" i="11" l="1"/>
  <c r="U16" i="11" s="1"/>
  <c r="U31" i="10"/>
  <c r="U32" i="10"/>
  <c r="T15" i="10"/>
  <c r="T29" i="10"/>
  <c r="T38" i="10" s="1"/>
  <c r="T31" i="10" l="1"/>
  <c r="T30" i="10"/>
  <c r="T9" i="11"/>
  <c r="T32" i="10"/>
  <c r="U21" i="11"/>
  <c r="U24" i="11" s="1"/>
  <c r="U25" i="11" s="1"/>
  <c r="U17" i="11"/>
  <c r="U19" i="11" s="1"/>
  <c r="U27" i="11" l="1"/>
  <c r="T16" i="11"/>
  <c r="T17" i="11" l="1"/>
  <c r="T21" i="11"/>
  <c r="T24" i="11" l="1"/>
  <c r="T18" i="11"/>
  <c r="T19" i="11"/>
  <c r="T40" i="10" l="1"/>
  <c r="U43" i="10"/>
  <c r="R13" i="13"/>
  <c r="T25" i="11"/>
  <c r="T26" i="11" l="1"/>
  <c r="T27" i="11"/>
  <c r="U49" i="10"/>
  <c r="U29" i="11"/>
  <c r="U52" i="11" s="1"/>
  <c r="U46" i="10"/>
  <c r="U44" i="10"/>
  <c r="U48" i="10"/>
  <c r="T43" i="10"/>
  <c r="U55" i="11" l="1"/>
  <c r="U57" i="11" s="1"/>
  <c r="U53" i="11"/>
  <c r="T48" i="10"/>
  <c r="T45" i="10"/>
  <c r="T49" i="10"/>
  <c r="T29" i="11"/>
  <c r="T44" i="10"/>
  <c r="T46" i="10"/>
  <c r="T52" i="11" l="1"/>
  <c r="T8" i="14"/>
  <c r="U33" i="14"/>
  <c r="U57" i="14" s="1"/>
  <c r="U59" i="14" l="1"/>
  <c r="T57" i="14"/>
  <c r="T33" i="14"/>
  <c r="T55" i="11"/>
  <c r="T53" i="11"/>
  <c r="T59" i="14" l="1"/>
  <c r="T56" i="11"/>
  <c r="T57" i="11"/>
  <c r="V58" i="14" l="1"/>
  <c r="R24" i="13" l="1"/>
  <c r="R34" i="13" l="1"/>
  <c r="R49" i="13" l="1"/>
  <c r="R40" i="13"/>
  <c r="R51" i="13" l="1"/>
  <c r="V42" i="14" l="1"/>
  <c r="V31" i="11" l="1"/>
  <c r="V27" i="10" l="1"/>
  <c r="V19" i="10"/>
  <c r="V22" i="10"/>
  <c r="S13" i="13"/>
  <c r="S24" i="13" s="1"/>
  <c r="V22" i="11"/>
  <c r="V25" i="10"/>
  <c r="V14" i="10"/>
  <c r="V10" i="10"/>
  <c r="V9" i="10"/>
  <c r="V15" i="10" l="1"/>
  <c r="V29" i="10"/>
  <c r="V38" i="10" l="1"/>
  <c r="V43" i="10" s="1"/>
  <c r="V32" i="10"/>
  <c r="V31" i="10"/>
  <c r="V30" i="10"/>
  <c r="V9" i="11"/>
  <c r="V16" i="11" s="1"/>
  <c r="V17" i="11" l="1"/>
  <c r="V21" i="11"/>
  <c r="V24" i="11" s="1"/>
  <c r="V25" i="11" s="1"/>
  <c r="V46" i="10"/>
  <c r="V45" i="10"/>
  <c r="V29" i="11"/>
  <c r="V52" i="11" s="1"/>
  <c r="V49" i="10"/>
  <c r="V44" i="10"/>
  <c r="V48" i="10"/>
  <c r="V53" i="11" l="1"/>
  <c r="V55" i="11"/>
  <c r="V26" i="11"/>
  <c r="V27" i="11"/>
  <c r="V19" i="11"/>
  <c r="V18" i="11"/>
  <c r="V57" i="11" l="1"/>
  <c r="V56" i="11"/>
  <c r="V53" i="14" l="1"/>
  <c r="V33" i="14" l="1"/>
  <c r="V57" i="14" l="1"/>
  <c r="V59" i="14" l="1"/>
  <c r="W58" i="14" l="1"/>
  <c r="S49" i="13" l="1"/>
  <c r="S34" i="13" l="1"/>
  <c r="S40" i="13" s="1"/>
  <c r="S51" i="13" s="1"/>
  <c r="W30" i="11" l="1"/>
  <c r="X41" i="16" l="1"/>
  <c r="X58" i="16"/>
  <c r="X35" i="16"/>
  <c r="X47" i="16"/>
  <c r="X53" i="16"/>
  <c r="X74" i="16" l="1"/>
  <c r="X72" i="16"/>
  <c r="X18" i="16"/>
  <c r="X14" i="16"/>
  <c r="X9" i="16"/>
  <c r="X81" i="16"/>
  <c r="X79" i="16"/>
  <c r="X84" i="16"/>
  <c r="X78" i="16" s="1"/>
  <c r="X65" i="16"/>
  <c r="X67" i="16"/>
  <c r="X71" i="16" l="1"/>
  <c r="X26" i="16"/>
  <c r="X64" i="16"/>
  <c r="X27" i="16" l="1"/>
  <c r="X31" i="16"/>
  <c r="W42" i="14" l="1"/>
  <c r="W53" i="14"/>
  <c r="T13" i="13" l="1"/>
  <c r="T24" i="13" l="1"/>
  <c r="W33" i="14" l="1"/>
  <c r="W57" i="14" l="1"/>
  <c r="W59" i="14" l="1"/>
  <c r="X58" i="14" l="1"/>
  <c r="T34" i="13" l="1"/>
  <c r="T40" i="13" l="1"/>
  <c r="T49" i="13"/>
  <c r="T51" i="13" l="1"/>
  <c r="W31" i="11" l="1"/>
  <c r="W9" i="10" l="1"/>
  <c r="W10" i="10"/>
  <c r="W25" i="10"/>
  <c r="W22" i="11"/>
  <c r="W14" i="10"/>
  <c r="W22" i="10"/>
  <c r="W27" i="10"/>
  <c r="W19" i="10"/>
  <c r="W29" i="10" l="1"/>
  <c r="W15" i="10"/>
  <c r="W38" i="10" l="1"/>
  <c r="W30" i="10"/>
  <c r="W31" i="10"/>
  <c r="W32" i="10"/>
  <c r="W9" i="11"/>
  <c r="W16" i="11" l="1"/>
  <c r="W43" i="10"/>
  <c r="W48" i="10" l="1"/>
  <c r="W45" i="10"/>
  <c r="W29" i="11"/>
  <c r="W49" i="10"/>
  <c r="W44" i="10"/>
  <c r="W46" i="10"/>
  <c r="W17" i="11"/>
  <c r="W21" i="11"/>
  <c r="W24" i="11" l="1"/>
  <c r="W18" i="11"/>
  <c r="W19" i="11"/>
  <c r="W52" i="11"/>
  <c r="W55" i="11" l="1"/>
  <c r="W53" i="11"/>
  <c r="W25" i="11"/>
  <c r="W26" i="11" l="1"/>
  <c r="W27" i="11"/>
  <c r="W57" i="11"/>
  <c r="W56" i="11"/>
  <c r="Y9" i="16" l="1"/>
  <c r="Y18" i="16"/>
  <c r="Y14" i="16"/>
  <c r="Y26" i="16" l="1"/>
  <c r="Y31" i="16" l="1"/>
  <c r="Y27" i="16"/>
  <c r="Y79" i="16"/>
  <c r="Y81" i="16"/>
  <c r="Y72" i="16"/>
  <c r="Y74" i="16"/>
  <c r="Y65" i="16"/>
  <c r="Y67" i="16"/>
  <c r="Y84" i="16"/>
  <c r="Y64" i="16" l="1"/>
  <c r="Y71" i="16"/>
  <c r="Y78" i="16"/>
  <c r="X53" i="14" l="1"/>
  <c r="U13" i="13" l="1"/>
  <c r="U24" i="13" l="1"/>
  <c r="X31" i="11" l="1"/>
  <c r="X22" i="11" l="1"/>
  <c r="X25" i="10"/>
  <c r="X10" i="10"/>
  <c r="X9" i="10"/>
  <c r="X14" i="10"/>
  <c r="X19" i="10"/>
  <c r="X22" i="10" l="1"/>
  <c r="X27" i="10"/>
  <c r="X29" i="10" s="1"/>
  <c r="X15" i="10"/>
  <c r="X31" i="10" l="1"/>
  <c r="X30" i="10"/>
  <c r="X32" i="10"/>
  <c r="X9" i="11"/>
  <c r="X16" i="11" s="1"/>
  <c r="X38" i="10"/>
  <c r="X21" i="11" l="1"/>
  <c r="X24" i="11" s="1"/>
  <c r="X25" i="11" s="1"/>
  <c r="X17" i="11"/>
  <c r="X19" i="11" l="1"/>
  <c r="X18" i="11"/>
  <c r="X27" i="11"/>
  <c r="X26" i="11"/>
  <c r="X43" i="10" l="1"/>
  <c r="X48" i="10" l="1"/>
  <c r="X44" i="10"/>
  <c r="X45" i="10"/>
  <c r="X46" i="10"/>
  <c r="X49" i="10"/>
  <c r="X29" i="11"/>
  <c r="X52" i="11" s="1"/>
  <c r="X55" i="11" l="1"/>
  <c r="X53" i="11"/>
  <c r="X56" i="11" l="1"/>
  <c r="X57" i="11"/>
  <c r="U34" i="13" l="1"/>
  <c r="U40" i="13" l="1"/>
  <c r="U49" i="13" l="1"/>
  <c r="U51" i="13" l="1"/>
  <c r="X42" i="14" l="1"/>
  <c r="X33" i="14" l="1"/>
  <c r="X57" i="14" s="1"/>
  <c r="X59" i="14" s="1"/>
</calcChain>
</file>

<file path=xl/sharedStrings.xml><?xml version="1.0" encoding="utf-8"?>
<sst xmlns="http://schemas.openxmlformats.org/spreadsheetml/2006/main" count="580" uniqueCount="224">
  <si>
    <t>Headcount</t>
  </si>
  <si>
    <t>General and administrative expenses</t>
  </si>
  <si>
    <t>Selling and marketing expenses</t>
  </si>
  <si>
    <t>Total operating expenses</t>
  </si>
  <si>
    <t>Q1</t>
  </si>
  <si>
    <t>Q2</t>
  </si>
  <si>
    <t>Q3</t>
  </si>
  <si>
    <t>Q4</t>
  </si>
  <si>
    <t>FY</t>
  </si>
  <si>
    <t>Income Statement</t>
  </si>
  <si>
    <t>Balance Sheet</t>
  </si>
  <si>
    <t>Assets</t>
  </si>
  <si>
    <t>Current assets:</t>
  </si>
  <si>
    <t>Restricted cash</t>
  </si>
  <si>
    <t>Accounts receivable</t>
  </si>
  <si>
    <t/>
  </si>
  <si>
    <t>Goodwill</t>
  </si>
  <si>
    <t>Current liabilities:</t>
  </si>
  <si>
    <t>Accounts payable</t>
  </si>
  <si>
    <t>Deferred revenue</t>
  </si>
  <si>
    <t>Total current liabilities</t>
  </si>
  <si>
    <t>Additional paid-in capital</t>
  </si>
  <si>
    <t>Other assets</t>
  </si>
  <si>
    <t>Other non-current liabilities</t>
  </si>
  <si>
    <t>Retained earnings</t>
  </si>
  <si>
    <t>Net income</t>
  </si>
  <si>
    <t>Acquisition of treasury stock</t>
  </si>
  <si>
    <t>Cash Flow Statement</t>
  </si>
  <si>
    <t>Top - 3</t>
  </si>
  <si>
    <t>Top - 5</t>
  </si>
  <si>
    <t>Top - 10</t>
  </si>
  <si>
    <t>Top - 1</t>
  </si>
  <si>
    <t>Cashflow Statement</t>
  </si>
  <si>
    <t>Adjustments to reconcile net income to net cash provided by operating activities:</t>
  </si>
  <si>
    <t>GM</t>
  </si>
  <si>
    <t>Other metrics</t>
  </si>
  <si>
    <t>GM%</t>
  </si>
  <si>
    <t>Operating expenses</t>
  </si>
  <si>
    <t>Accrued expenses and other current liabilities</t>
  </si>
  <si>
    <t>($ in thousands)</t>
  </si>
  <si>
    <t>Total Liabilities</t>
  </si>
  <si>
    <t>NA</t>
  </si>
  <si>
    <t>Revenue by Geography</t>
  </si>
  <si>
    <t>United States</t>
  </si>
  <si>
    <t>United Kingdom</t>
  </si>
  <si>
    <t>Reconciliation of GAAP to Non-GAAP Measures</t>
  </si>
  <si>
    <t>Interest and other income, net</t>
  </si>
  <si>
    <t>Diluted</t>
  </si>
  <si>
    <t>Basic</t>
  </si>
  <si>
    <t>Short-term investments</t>
  </si>
  <si>
    <t>Cash and cash equivalents</t>
  </si>
  <si>
    <t>Total current assets</t>
  </si>
  <si>
    <t>Total assets</t>
  </si>
  <si>
    <t>Cash flows from operating activities</t>
  </si>
  <si>
    <t>Cash flows from investing activities:</t>
  </si>
  <si>
    <t>Cash flows from financing activities:</t>
  </si>
  <si>
    <t>Total stockholders' equity</t>
  </si>
  <si>
    <t>Adjusted EBITDA</t>
  </si>
  <si>
    <t>Adjusted EBITDA Margin</t>
  </si>
  <si>
    <t>Net Income</t>
  </si>
  <si>
    <t>add: Depreciation</t>
  </si>
  <si>
    <t>subtract: Tax impact on stock compensation expense</t>
  </si>
  <si>
    <t>Sequential Growth</t>
  </si>
  <si>
    <t>Year-Over-Year Growth</t>
  </si>
  <si>
    <t>% of revenue</t>
  </si>
  <si>
    <t>Adjusted Net Income</t>
  </si>
  <si>
    <t>Adjusted Net Income Margin</t>
  </si>
  <si>
    <t>Payment of debt issuance cost</t>
  </si>
  <si>
    <t>Rest of world</t>
  </si>
  <si>
    <t>Philippine peso / U.S. dollar</t>
  </si>
  <si>
    <t>Indian rupee / U.S. dollar</t>
  </si>
  <si>
    <t>Exchange Rates (average of month end exchange rates)</t>
  </si>
  <si>
    <t xml:space="preserve">    Q/Q Appreciation / (Depreciation)</t>
  </si>
  <si>
    <t xml:space="preserve">    Y/Y Appreciation / (Depreciation)</t>
  </si>
  <si>
    <t>Y/Y revenue growth</t>
  </si>
  <si>
    <t>Healthcare</t>
  </si>
  <si>
    <t>Insurance</t>
  </si>
  <si>
    <t xml:space="preserve">Y/Y constant currency revenue growth % </t>
  </si>
  <si>
    <t xml:space="preserve">    Q/Q (Appreciation) / Depreciation</t>
  </si>
  <si>
    <t xml:space="preserve">    Y/Y (Appreciation) / Depreciation</t>
  </si>
  <si>
    <t xml:space="preserve">Attrition </t>
  </si>
  <si>
    <t xml:space="preserve"> </t>
  </si>
  <si>
    <t>Accounts receivable, net</t>
  </si>
  <si>
    <t>Property and equipment, net</t>
  </si>
  <si>
    <t>Investment in equity affiliate</t>
  </si>
  <si>
    <t>Current portion of long-term borrowings</t>
  </si>
  <si>
    <t>Deferred income tax (benefit)/expense</t>
  </si>
  <si>
    <t>Purchase of property and equipment</t>
  </si>
  <si>
    <t>Proceeds from borrowings</t>
  </si>
  <si>
    <t>Repayment of borrowings</t>
  </si>
  <si>
    <t>add: Amortization of acquisition-related intangibles</t>
  </si>
  <si>
    <t>add: Stock-based compensation expense</t>
  </si>
  <si>
    <t>subtract: Tax impact on amortization of acquisition-related intangibles</t>
  </si>
  <si>
    <t>Less: Shares held in treasury</t>
  </si>
  <si>
    <t>add: Acquisition-related expenses</t>
  </si>
  <si>
    <t>Current portion of operating lease liabilities</t>
  </si>
  <si>
    <t>Operating lease liabilities, less current portion</t>
  </si>
  <si>
    <t>Operating lease liabilities</t>
  </si>
  <si>
    <t>Depreciation and amortization expense</t>
  </si>
  <si>
    <t>Income taxes payable, net</t>
  </si>
  <si>
    <t>Deferred tax assets, net</t>
  </si>
  <si>
    <t>Deferred tax liabilities, net</t>
  </si>
  <si>
    <t>Emerging Business</t>
  </si>
  <si>
    <t>Client Concentration</t>
  </si>
  <si>
    <t xml:space="preserve">Analytics </t>
  </si>
  <si>
    <t>Proceeds from sale of property and equipment</t>
  </si>
  <si>
    <t>Others, net</t>
  </si>
  <si>
    <t>Loss / (Gain) from equity-method investment</t>
  </si>
  <si>
    <t>Principal payments on finance lease obligations</t>
  </si>
  <si>
    <t>Loss on settlement of convertible notes</t>
  </si>
  <si>
    <t xml:space="preserve">add/(subtract): Other (benefits)/expense </t>
  </si>
  <si>
    <t>add/(subtract): Tax impact on other (benefits)/expense</t>
  </si>
  <si>
    <t>add: Provision for litigation settlement</t>
  </si>
  <si>
    <t>add/(subtract): Effects of changes in fair value of contingent consideration</t>
  </si>
  <si>
    <t>Long-term investments - Others</t>
  </si>
  <si>
    <t>Long-term investments - Equity affiliate</t>
  </si>
  <si>
    <t>Other current assets</t>
  </si>
  <si>
    <t xml:space="preserve">Purchase of investments </t>
  </si>
  <si>
    <t>Proceeds from redemption of investments</t>
  </si>
  <si>
    <t>FY 22</t>
  </si>
  <si>
    <t>Proceeds from ESPP contribution</t>
  </si>
  <si>
    <t>Allowance/(Reversal) for expected credit losses</t>
  </si>
  <si>
    <t>Unrealized foreign currency exchange (gain)/loss, net</t>
  </si>
  <si>
    <t>Amortization of non-cash interest expense related to convertible notes</t>
  </si>
  <si>
    <t>Fair value changes in contingent consideration</t>
  </si>
  <si>
    <t>Income from operations</t>
  </si>
  <si>
    <t>Income before income tax expense and earnings from equity affiliates</t>
  </si>
  <si>
    <t>Stock-based compensation expense</t>
  </si>
  <si>
    <t>Business acquisition (net of cash and cash equivalents acquired)</t>
  </si>
  <si>
    <t>Effect of exchange rate changes on cash, cash equivalents and restricted cash</t>
  </si>
  <si>
    <t>Cash, cash equivalents and restricted cash at the end of the period</t>
  </si>
  <si>
    <t>Cash, cash equivalents and restricted cash at the beginning of the period</t>
  </si>
  <si>
    <t>Net (decrease)/increase in cash, cash equivalents and restricted cash</t>
  </si>
  <si>
    <t>Income from Operations</t>
  </si>
  <si>
    <t>Adjusted Operating Income</t>
  </si>
  <si>
    <t>Adjusted Operating Income Margin</t>
  </si>
  <si>
    <t>Payment of contingent consideration</t>
  </si>
  <si>
    <t>Liabilities and stockholders' equity</t>
  </si>
  <si>
    <t>Total liabilities and stockholders' equity</t>
  </si>
  <si>
    <t>Emerging</t>
  </si>
  <si>
    <t>Other intangible assets, net</t>
  </si>
  <si>
    <t>($ in thousands, except per share amount)</t>
  </si>
  <si>
    <t>FY 23</t>
  </si>
  <si>
    <t>Reduction in the carrying amount of operating lease right-of-use assets</t>
  </si>
  <si>
    <t>Operating lease right-of-use assets</t>
  </si>
  <si>
    <t>add/(subtract): Tax impact on allowance/(reversal) for expected credit losses</t>
  </si>
  <si>
    <t>add/(subtract): Allowance/(reversal) for expected credit losses</t>
  </si>
  <si>
    <t>Fair value mark-to-market of investments</t>
  </si>
  <si>
    <t>Non-GAAP</t>
  </si>
  <si>
    <t>add: Impairment and restructuring costs</t>
  </si>
  <si>
    <t>Accrued expenses and other liabilities</t>
  </si>
  <si>
    <t>FY 24</t>
  </si>
  <si>
    <t>Healthcare and Life Sciences</t>
  </si>
  <si>
    <t>Banking, Capital Markets and Diversified Industries</t>
  </si>
  <si>
    <t>International Growth Markets</t>
  </si>
  <si>
    <t>FY 25</t>
  </si>
  <si>
    <t>Banking, Capital Markets, and Diversified Industries</t>
  </si>
  <si>
    <t>Stockholders’ equity:</t>
  </si>
  <si>
    <t>Weighted-average number of shares used in computing earnings per share</t>
  </si>
  <si>
    <t>Earnings/(loss) per share</t>
  </si>
  <si>
    <t>Change in operating assets and liabilities:</t>
  </si>
  <si>
    <t>Sequential constant currency revenue growth %</t>
  </si>
  <si>
    <t>Back</t>
  </si>
  <si>
    <t>Adjusted Diluted Earnings Per Share</t>
  </si>
  <si>
    <t>(1) Exclusive of depreciation and amortization expense.</t>
  </si>
  <si>
    <r>
      <t xml:space="preserve">Gross profit </t>
    </r>
    <r>
      <rPr>
        <vertAlign val="superscript"/>
        <sz val="10"/>
        <rFont val="Arial"/>
        <family val="2"/>
      </rPr>
      <t>(1)</t>
    </r>
  </si>
  <si>
    <t>Common stock</t>
  </si>
  <si>
    <t>Accumulated other comprehensive income/(loss)</t>
  </si>
  <si>
    <t>Sequential Growth (bps)</t>
  </si>
  <si>
    <t>Year-Over-Year Growth (bps)</t>
  </si>
  <si>
    <t>Sequential Growth (%)</t>
  </si>
  <si>
    <t>Year-Over-Year Growth (%)</t>
  </si>
  <si>
    <t>South African rand / U.S. dollar</t>
  </si>
  <si>
    <t>North America</t>
  </si>
  <si>
    <t>Revenue, net</t>
  </si>
  <si>
    <r>
      <t xml:space="preserve">Cost of revenue </t>
    </r>
    <r>
      <rPr>
        <vertAlign val="superscript"/>
        <sz val="10"/>
        <rFont val="Arial"/>
        <family val="2"/>
      </rPr>
      <t>(1)</t>
    </r>
  </si>
  <si>
    <t>Revenue</t>
  </si>
  <si>
    <t>Total Revenue</t>
  </si>
  <si>
    <t>Revenue and Margin</t>
  </si>
  <si>
    <t>Revenue and Margin (effective 2025)</t>
  </si>
  <si>
    <t>For example, Insurance will include revenue from Insurance segment and Insurance clients in International Growth Markets segment.</t>
  </si>
  <si>
    <t>Y/Y revenue growth %</t>
  </si>
  <si>
    <t>Sequential Growth %</t>
  </si>
  <si>
    <t>Year-Over-Year Growth %</t>
  </si>
  <si>
    <t>Year-Over-Year Constant Currency Growth %</t>
  </si>
  <si>
    <t>Gross Margin %</t>
  </si>
  <si>
    <t>Operating Margin %</t>
  </si>
  <si>
    <t>add/(subtract): Other tax expense/(benefits)</t>
  </si>
  <si>
    <t>Data and AI-Led</t>
  </si>
  <si>
    <t>Digital Operations</t>
  </si>
  <si>
    <t>For example, Insurance will include revenue from both Digital operations and Insurance clients in Analytics.</t>
  </si>
  <si>
    <t>Sequential revenue growth %</t>
  </si>
  <si>
    <t>Accrued employee costs</t>
  </si>
  <si>
    <t xml:space="preserve">U.S. dollar / U.K. pound sterling </t>
  </si>
  <si>
    <t>U.K. &amp; Europe</t>
  </si>
  <si>
    <t>Proceeds from issuance of common stock</t>
  </si>
  <si>
    <t xml:space="preserve">subtract: Acquisition-related adjustments </t>
  </si>
  <si>
    <t>Long-term borrowings, less current portion</t>
  </si>
  <si>
    <t>subtract:Tax effects on changes in fair value of contingent consideration</t>
  </si>
  <si>
    <r>
      <t xml:space="preserve">Revenue by Service-type </t>
    </r>
    <r>
      <rPr>
        <b/>
        <u/>
        <vertAlign val="superscript"/>
        <sz val="10"/>
        <color rgb="FF000000"/>
        <rFont val="Arial"/>
        <family val="2"/>
      </rPr>
      <t>(1)</t>
    </r>
  </si>
  <si>
    <t>Additional Revenue Metrics</t>
  </si>
  <si>
    <r>
      <t xml:space="preserve">Revenue by Reportable Segments </t>
    </r>
    <r>
      <rPr>
        <b/>
        <u/>
        <vertAlign val="superscript"/>
        <sz val="10"/>
        <color rgb="FF000000"/>
        <rFont val="Arial"/>
        <family val="2"/>
      </rPr>
      <t>(1)</t>
    </r>
  </si>
  <si>
    <r>
      <t xml:space="preserve">Revenue by Industry </t>
    </r>
    <r>
      <rPr>
        <b/>
        <u/>
        <vertAlign val="superscript"/>
        <sz val="10"/>
        <color indexed="8"/>
        <rFont val="Arial"/>
        <family val="2"/>
      </rPr>
      <t>(2)</t>
    </r>
  </si>
  <si>
    <r>
      <t xml:space="preserve">Revenue by Geography </t>
    </r>
    <r>
      <rPr>
        <b/>
        <vertAlign val="superscript"/>
        <sz val="10"/>
        <color theme="0"/>
        <rFont val="Arial"/>
        <family val="2"/>
      </rPr>
      <t>(3)</t>
    </r>
  </si>
  <si>
    <t>(2)  Revenue by Industry includes all services and solutions offered by EXL for each vertical listed.</t>
  </si>
  <si>
    <t xml:space="preserve">(3) The Company attributes revenues based on geographical markets where the customer operations being served by it are located.
 </t>
  </si>
  <si>
    <t>Data and AI-Led excluding Data and AI-Led Operations</t>
  </si>
  <si>
    <t>Total  Operations (Data &amp; AI-Led Operations and Digital Operations)</t>
  </si>
  <si>
    <t>add: Amortization of prior service cost arising from change in India labor code</t>
  </si>
  <si>
    <t>subtract: Tax impact on amortization of prior service cost arising from change in India labor code</t>
  </si>
  <si>
    <t>(1) Effective January 1, 2025, the Company implemented operational and structural changes to accelerate the execution of its data and AI-led strategy and accordingly new reportable segments are as follows :  Insurance, Healthcare and Life Sciences, Banking, Capital Markets and Diversified Industries and International Growth Markets.</t>
  </si>
  <si>
    <t>\</t>
  </si>
  <si>
    <t>Foreign exchange gain / (loss), net</t>
  </si>
  <si>
    <t>Income tax expense</t>
  </si>
  <si>
    <t>Gain/(loss) from equity-method investment</t>
  </si>
  <si>
    <t>Net cash provided by/(used for) investing activities</t>
  </si>
  <si>
    <t>Net cash provided by/(used for) financing activities</t>
  </si>
  <si>
    <t>(1) The Company's operations management services are a part of its digital operations and solutions business and they are referred to as “digital operations and solutions” or “digital solutions.”</t>
  </si>
  <si>
    <r>
      <t>Digital Operations and Solutions</t>
    </r>
    <r>
      <rPr>
        <b/>
        <vertAlign val="superscript"/>
        <sz val="10"/>
        <color theme="0"/>
        <rFont val="Arial"/>
        <family val="2"/>
      </rPr>
      <t>(1)</t>
    </r>
  </si>
  <si>
    <r>
      <t xml:space="preserve">Revenue by Industry </t>
    </r>
    <r>
      <rPr>
        <b/>
        <u/>
        <vertAlign val="superscript"/>
        <sz val="10"/>
        <rFont val="Arial"/>
        <family val="2"/>
      </rPr>
      <t>(2)</t>
    </r>
  </si>
  <si>
    <t xml:space="preserve">(2)  Revenue by Industry includes all solutions offered by EXL for each vertical listed.  </t>
  </si>
  <si>
    <t>Net cash provided by/(used for) operating activities</t>
  </si>
  <si>
    <t>subtract: Tax impact on acquisition related expense</t>
  </si>
  <si>
    <t>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</si>
</sst>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  <numFmt numFmtId="167" formatCode="#,##0.0"/>
    <numFmt numFmtId="168" formatCode="_(&quot;$&quot;* #,##0_);_(&quot;$&quot;* \(#,##0\);_(&quot;$&quot;* &quot;-&quot;??_);_(@_)"/>
    <numFmt numFmtId="169" formatCode="#,##0.0_);\(#,##0.0\)"/>
    <numFmt numFmtId="170" formatCode="_(&quot;$&quot;* #,##0.0_);_(&quot;$&quot;* \(#,##0.0\);_(&quot;$&quot;* &quot;-&quot;??_);_(@_)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20"/>
      <name val="Arial"/>
      <family val="2"/>
    </font>
    <font>
      <b/>
      <sz val="10"/>
      <color indexed="0"/>
      <name val="Arial"/>
      <family val="2"/>
    </font>
    <font>
      <sz val="10"/>
      <color indexed="0"/>
      <name val="Arial"/>
      <family val="2"/>
    </font>
    <font>
      <i/>
      <sz val="10"/>
      <name val="Arial"/>
      <family val="2"/>
    </font>
    <font>
      <sz val="10"/>
      <color indexed="28"/>
      <name val="Arial"/>
      <family val="2"/>
    </font>
    <font>
      <b/>
      <sz val="10"/>
      <color indexed="28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sz val="10"/>
      <color theme="1"/>
      <name val="Arial"/>
      <family val="2"/>
    </font>
    <font>
      <b/>
      <u/>
      <sz val="10"/>
      <color indexed="8"/>
      <name val="Arial"/>
      <family val="2"/>
    </font>
    <font>
      <b/>
      <u/>
      <vertAlign val="superscript"/>
      <sz val="10"/>
      <color indexed="8"/>
      <name val="Arial"/>
      <family val="2"/>
    </font>
    <font>
      <vertAlign val="superscript"/>
      <sz val="10"/>
      <name val="Arial"/>
      <family val="2"/>
    </font>
    <font>
      <b/>
      <u/>
      <vertAlign val="superscript"/>
      <sz val="10"/>
      <name val="Arial"/>
      <family val="2"/>
    </font>
    <font>
      <i/>
      <sz val="10"/>
      <color indexed="8"/>
      <name val="Arial"/>
      <family val="2"/>
    </font>
    <font>
      <b/>
      <u/>
      <vertAlign val="superscript"/>
      <sz val="10"/>
      <color rgb="FF000000"/>
      <name val="Arial"/>
      <family val="2"/>
    </font>
    <font>
      <u/>
      <sz val="10"/>
      <color theme="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C0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/>
    <xf numFmtId="10" fontId="4" fillId="0" borderId="0" xfId="0" applyNumberFormat="1" applyFont="1"/>
    <xf numFmtId="0" fontId="5" fillId="0" borderId="0" xfId="0" applyFont="1"/>
    <xf numFmtId="0" fontId="8" fillId="0" borderId="0" xfId="0" applyFont="1" applyAlignment="1">
      <alignment horizontal="left" indent="1"/>
    </xf>
    <xf numFmtId="0" fontId="8" fillId="0" borderId="0" xfId="0" applyFont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 inden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2" fillId="0" borderId="0" xfId="0" applyFont="1"/>
    <xf numFmtId="0" fontId="5" fillId="0" borderId="0" xfId="0" applyFont="1" applyAlignment="1">
      <alignment horizontal="left"/>
    </xf>
    <xf numFmtId="164" fontId="5" fillId="0" borderId="0" xfId="2" applyNumberFormat="1" applyFont="1"/>
    <xf numFmtId="164" fontId="2" fillId="0" borderId="0" xfId="2" applyNumberFormat="1" applyFont="1"/>
    <xf numFmtId="164" fontId="2" fillId="0" borderId="0" xfId="2" applyNumberFormat="1" applyFont="1" applyFill="1"/>
    <xf numFmtId="43" fontId="2" fillId="0" borderId="0" xfId="2" applyFont="1"/>
    <xf numFmtId="165" fontId="9" fillId="0" borderId="0" xfId="5" applyNumberFormat="1" applyFont="1"/>
    <xf numFmtId="165" fontId="9" fillId="0" borderId="0" xfId="5" applyNumberFormat="1" applyFont="1" applyAlignment="1">
      <alignment horizontal="right"/>
    </xf>
    <xf numFmtId="0" fontId="8" fillId="0" borderId="0" xfId="0" applyFont="1" applyAlignment="1">
      <alignment horizontal="left" indent="2"/>
    </xf>
    <xf numFmtId="0" fontId="10" fillId="0" borderId="0" xfId="0" applyFont="1"/>
    <xf numFmtId="0" fontId="11" fillId="0" borderId="0" xfId="0" applyFont="1"/>
    <xf numFmtId="0" fontId="7" fillId="0" borderId="1" xfId="0" applyFont="1" applyBorder="1" applyAlignment="1">
      <alignment wrapText="1"/>
    </xf>
    <xf numFmtId="0" fontId="3" fillId="0" borderId="1" xfId="0" applyFont="1" applyBorder="1"/>
    <xf numFmtId="0" fontId="2" fillId="0" borderId="0" xfId="0" applyFont="1" applyAlignment="1">
      <alignment horizontal="left" indent="1"/>
    </xf>
    <xf numFmtId="0" fontId="3" fillId="2" borderId="0" xfId="0" applyFont="1" applyFill="1"/>
    <xf numFmtId="0" fontId="5" fillId="0" borderId="1" xfId="0" applyFont="1" applyBorder="1" applyAlignment="1">
      <alignment horizontal="left" wrapText="1" indent="1"/>
    </xf>
    <xf numFmtId="37" fontId="2" fillId="0" borderId="0" xfId="2" applyNumberFormat="1" applyFont="1"/>
    <xf numFmtId="0" fontId="9" fillId="0" borderId="4" xfId="1" applyFont="1" applyBorder="1" applyAlignment="1">
      <alignment horizontal="left" indent="2"/>
    </xf>
    <xf numFmtId="0" fontId="5" fillId="0" borderId="4" xfId="1" applyFont="1" applyBorder="1"/>
    <xf numFmtId="0" fontId="2" fillId="0" borderId="4" xfId="0" applyFont="1" applyBorder="1" applyAlignment="1">
      <alignment horizontal="left" indent="1"/>
    </xf>
    <xf numFmtId="5" fontId="2" fillId="0" borderId="0" xfId="0" applyNumberFormat="1" applyFont="1"/>
    <xf numFmtId="0" fontId="5" fillId="0" borderId="0" xfId="0" applyFont="1" applyAlignment="1">
      <alignment horizontal="left" wrapText="1" indent="1"/>
    </xf>
    <xf numFmtId="0" fontId="8" fillId="3" borderId="0" xfId="0" applyFont="1" applyFill="1" applyAlignment="1">
      <alignment horizontal="left" wrapText="1" indent="2"/>
    </xf>
    <xf numFmtId="0" fontId="8" fillId="3" borderId="0" xfId="0" applyFont="1" applyFill="1" applyAlignment="1">
      <alignment horizontal="left" wrapText="1" indent="1"/>
    </xf>
    <xf numFmtId="0" fontId="2" fillId="3" borderId="0" xfId="0" applyFont="1" applyFill="1" applyAlignment="1">
      <alignment horizontal="left" wrapText="1" indent="1"/>
    </xf>
    <xf numFmtId="0" fontId="4" fillId="3" borderId="0" xfId="0" applyFont="1" applyFill="1"/>
    <xf numFmtId="0" fontId="8" fillId="3" borderId="0" xfId="0" applyFont="1" applyFill="1" applyAlignment="1">
      <alignment wrapText="1"/>
    </xf>
    <xf numFmtId="0" fontId="3" fillId="4" borderId="1" xfId="0" applyFont="1" applyFill="1" applyBorder="1"/>
    <xf numFmtId="0" fontId="4" fillId="4" borderId="1" xfId="0" applyFont="1" applyFill="1" applyBorder="1"/>
    <xf numFmtId="16" fontId="3" fillId="0" borderId="0" xfId="0" applyNumberFormat="1" applyFont="1" applyAlignment="1">
      <alignment horizontal="center"/>
    </xf>
    <xf numFmtId="165" fontId="9" fillId="0" borderId="5" xfId="5" applyNumberFormat="1" applyFont="1" applyBorder="1"/>
    <xf numFmtId="0" fontId="4" fillId="0" borderId="0" xfId="0" applyFont="1" applyAlignment="1">
      <alignment horizontal="left" indent="1"/>
    </xf>
    <xf numFmtId="37" fontId="2" fillId="0" borderId="0" xfId="0" applyNumberFormat="1" applyFont="1"/>
    <xf numFmtId="165" fontId="9" fillId="0" borderId="2" xfId="5" applyNumberFormat="1" applyFont="1" applyBorder="1" applyAlignment="1">
      <alignment horizontal="right"/>
    </xf>
    <xf numFmtId="165" fontId="2" fillId="0" borderId="0" xfId="5" applyNumberFormat="1" applyFont="1"/>
    <xf numFmtId="165" fontId="9" fillId="0" borderId="0" xfId="5" applyNumberFormat="1" applyFont="1" applyBorder="1" applyAlignment="1">
      <alignment horizontal="right"/>
    </xf>
    <xf numFmtId="164" fontId="2" fillId="0" borderId="0" xfId="2" applyNumberFormat="1" applyFont="1" applyBorder="1" applyAlignment="1">
      <alignment horizontal="right"/>
    </xf>
    <xf numFmtId="165" fontId="9" fillId="0" borderId="0" xfId="5" applyNumberFormat="1" applyFont="1" applyBorder="1"/>
    <xf numFmtId="0" fontId="9" fillId="0" borderId="4" xfId="0" applyFont="1" applyBorder="1" applyAlignment="1">
      <alignment horizontal="left" indent="2"/>
    </xf>
    <xf numFmtId="0" fontId="9" fillId="0" borderId="6" xfId="1" applyFont="1" applyBorder="1" applyAlignment="1">
      <alignment horizontal="left" indent="2"/>
    </xf>
    <xf numFmtId="165" fontId="9" fillId="0" borderId="4" xfId="5" applyNumberFormat="1" applyFont="1" applyBorder="1" applyAlignment="1">
      <alignment horizontal="right"/>
    </xf>
    <xf numFmtId="10" fontId="2" fillId="0" borderId="0" xfId="0" applyNumberFormat="1" applyFont="1"/>
    <xf numFmtId="0" fontId="9" fillId="0" borderId="0" xfId="1" applyFont="1" applyAlignment="1">
      <alignment horizontal="left" indent="2"/>
    </xf>
    <xf numFmtId="0" fontId="9" fillId="0" borderId="2" xfId="1" applyFont="1" applyBorder="1" applyAlignment="1">
      <alignment horizontal="left" indent="2"/>
    </xf>
    <xf numFmtId="0" fontId="3" fillId="0" borderId="1" xfId="0" applyFont="1" applyBorder="1" applyAlignment="1">
      <alignment wrapText="1"/>
    </xf>
    <xf numFmtId="0" fontId="9" fillId="0" borderId="0" xfId="0" applyFont="1"/>
    <xf numFmtId="167" fontId="2" fillId="0" borderId="0" xfId="0" applyNumberFormat="1" applyFont="1"/>
    <xf numFmtId="9" fontId="9" fillId="0" borderId="0" xfId="5" applyFont="1"/>
    <xf numFmtId="4" fontId="2" fillId="0" borderId="0" xfId="0" applyNumberFormat="1" applyFont="1"/>
    <xf numFmtId="165" fontId="9" fillId="0" borderId="0" xfId="5" applyNumberFormat="1" applyFont="1" applyFill="1"/>
    <xf numFmtId="164" fontId="4" fillId="0" borderId="0" xfId="2" applyNumberFormat="1" applyFont="1"/>
    <xf numFmtId="0" fontId="5" fillId="0" borderId="0" xfId="0" applyFont="1" applyAlignment="1">
      <alignment horizontal="center" vertical="center"/>
    </xf>
    <xf numFmtId="164" fontId="2" fillId="0" borderId="0" xfId="0" applyNumberFormat="1" applyFont="1"/>
    <xf numFmtId="164" fontId="2" fillId="0" borderId="0" xfId="2" applyNumberFormat="1" applyFont="1" applyFill="1" applyAlignment="1">
      <alignment horizontal="right"/>
    </xf>
    <xf numFmtId="165" fontId="4" fillId="0" borderId="0" xfId="5" applyNumberFormat="1" applyFont="1"/>
    <xf numFmtId="165" fontId="2" fillId="0" borderId="0" xfId="5" applyNumberFormat="1" applyFont="1" applyBorder="1"/>
    <xf numFmtId="164" fontId="2" fillId="0" borderId="0" xfId="2" applyNumberFormat="1" applyFont="1" applyFill="1" applyBorder="1" applyAlignment="1">
      <alignment horizontal="right"/>
    </xf>
    <xf numFmtId="0" fontId="16" fillId="0" borderId="0" xfId="0" applyFont="1"/>
    <xf numFmtId="165" fontId="9" fillId="0" borderId="0" xfId="5" applyNumberFormat="1" applyFont="1" applyFill="1" applyBorder="1" applyAlignment="1">
      <alignment horizontal="right"/>
    </xf>
    <xf numFmtId="165" fontId="4" fillId="0" borderId="0" xfId="5" applyNumberFormat="1" applyFont="1" applyFill="1"/>
    <xf numFmtId="165" fontId="2" fillId="0" borderId="0" xfId="5" applyNumberFormat="1" applyFont="1" applyFill="1"/>
    <xf numFmtId="164" fontId="2" fillId="0" borderId="0" xfId="2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165" fontId="9" fillId="0" borderId="0" xfId="5" applyNumberFormat="1" applyFont="1" applyFill="1" applyBorder="1"/>
    <xf numFmtId="164" fontId="2" fillId="0" borderId="0" xfId="2" applyNumberFormat="1" applyFont="1" applyFill="1" applyBorder="1"/>
    <xf numFmtId="164" fontId="4" fillId="0" borderId="0" xfId="0" applyNumberFormat="1" applyFont="1"/>
    <xf numFmtId="43" fontId="4" fillId="0" borderId="0" xfId="0" applyNumberFormat="1" applyFont="1"/>
    <xf numFmtId="37" fontId="2" fillId="0" borderId="0" xfId="2" applyNumberFormat="1" applyFont="1" applyFill="1"/>
    <xf numFmtId="2" fontId="4" fillId="0" borderId="0" xfId="0" applyNumberFormat="1" applyFont="1"/>
    <xf numFmtId="9" fontId="2" fillId="0" borderId="0" xfId="5" applyFont="1" applyFill="1" applyBorder="1"/>
    <xf numFmtId="165" fontId="9" fillId="0" borderId="0" xfId="5" applyNumberFormat="1" applyFont="1" applyFill="1" applyAlignment="1">
      <alignment horizontal="right"/>
    </xf>
    <xf numFmtId="7" fontId="2" fillId="0" borderId="0" xfId="0" applyNumberFormat="1" applyFont="1"/>
    <xf numFmtId="0" fontId="8" fillId="0" borderId="0" xfId="0" applyFont="1" applyAlignment="1">
      <alignment horizontal="left" wrapText="1" indent="2"/>
    </xf>
    <xf numFmtId="164" fontId="4" fillId="0" borderId="0" xfId="2" applyNumberFormat="1" applyFont="1" applyFill="1"/>
    <xf numFmtId="43" fontId="2" fillId="0" borderId="0" xfId="2" applyFont="1" applyFill="1" applyBorder="1" applyAlignment="1">
      <alignment horizontal="right"/>
    </xf>
    <xf numFmtId="43" fontId="2" fillId="0" borderId="0" xfId="2" applyFont="1" applyFill="1"/>
    <xf numFmtId="0" fontId="18" fillId="0" borderId="0" xfId="0" applyFont="1"/>
    <xf numFmtId="37" fontId="4" fillId="0" borderId="0" xfId="0" applyNumberFormat="1" applyFont="1"/>
    <xf numFmtId="0" fontId="17" fillId="0" borderId="0" xfId="0" applyFont="1"/>
    <xf numFmtId="0" fontId="4" fillId="5" borderId="0" xfId="0" applyFont="1" applyFill="1"/>
    <xf numFmtId="166" fontId="2" fillId="0" borderId="0" xfId="2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 wrapText="1" indent="1"/>
    </xf>
    <xf numFmtId="43" fontId="16" fillId="0" borderId="0" xfId="2" applyFont="1"/>
    <xf numFmtId="165" fontId="9" fillId="0" borderId="2" xfId="5" applyNumberFormat="1" applyFont="1" applyFill="1" applyBorder="1"/>
    <xf numFmtId="165" fontId="9" fillId="0" borderId="2" xfId="5" applyNumberFormat="1" applyFont="1" applyFill="1" applyBorder="1" applyAlignment="1">
      <alignment horizontal="right"/>
    </xf>
    <xf numFmtId="7" fontId="2" fillId="0" borderId="0" xfId="2" applyNumberFormat="1" applyFont="1" applyFill="1"/>
    <xf numFmtId="164" fontId="2" fillId="0" borderId="5" xfId="2" applyNumberFormat="1" applyFont="1" applyFill="1" applyBorder="1"/>
    <xf numFmtId="43" fontId="5" fillId="0" borderId="0" xfId="2" applyFont="1"/>
    <xf numFmtId="164" fontId="2" fillId="0" borderId="0" xfId="2" quotePrefix="1" applyNumberFormat="1" applyFont="1" applyFill="1" applyBorder="1"/>
    <xf numFmtId="164" fontId="4" fillId="0" borderId="0" xfId="9" applyNumberFormat="1" applyFont="1"/>
    <xf numFmtId="164" fontId="4" fillId="3" borderId="0" xfId="9" applyNumberFormat="1" applyFont="1" applyFill="1"/>
    <xf numFmtId="164" fontId="4" fillId="0" borderId="1" xfId="9" applyNumberFormat="1" applyFont="1" applyBorder="1"/>
    <xf numFmtId="164" fontId="12" fillId="3" borderId="0" xfId="9" applyNumberFormat="1" applyFont="1" applyFill="1"/>
    <xf numFmtId="164" fontId="3" fillId="3" borderId="0" xfId="9" applyNumberFormat="1" applyFont="1" applyFill="1"/>
    <xf numFmtId="43" fontId="4" fillId="3" borderId="0" xfId="9" applyFont="1" applyFill="1"/>
    <xf numFmtId="164" fontId="4" fillId="0" borderId="0" xfId="9" applyNumberFormat="1" applyFont="1" applyBorder="1"/>
    <xf numFmtId="5" fontId="5" fillId="0" borderId="0" xfId="2" applyNumberFormat="1" applyFont="1" applyFill="1" applyBorder="1"/>
    <xf numFmtId="0" fontId="19" fillId="6" borderId="3" xfId="1" applyFont="1" applyFill="1" applyBorder="1"/>
    <xf numFmtId="5" fontId="19" fillId="6" borderId="1" xfId="2" applyNumberFormat="1" applyFont="1" applyFill="1" applyBorder="1"/>
    <xf numFmtId="5" fontId="19" fillId="6" borderId="3" xfId="2" applyNumberFormat="1" applyFont="1" applyFill="1" applyBorder="1"/>
    <xf numFmtId="0" fontId="19" fillId="6" borderId="1" xfId="0" applyFont="1" applyFill="1" applyBorder="1"/>
    <xf numFmtId="5" fontId="19" fillId="6" borderId="1" xfId="9" applyNumberFormat="1" applyFont="1" applyFill="1" applyBorder="1"/>
    <xf numFmtId="5" fontId="19" fillId="6" borderId="1" xfId="3" applyNumberFormat="1" applyFont="1" applyFill="1" applyBorder="1"/>
    <xf numFmtId="164" fontId="19" fillId="6" borderId="1" xfId="9" applyNumberFormat="1" applyFont="1" applyFill="1" applyBorder="1"/>
    <xf numFmtId="5" fontId="19" fillId="6" borderId="1" xfId="9" applyNumberFormat="1" applyFont="1" applyFill="1" applyBorder="1" applyAlignment="1">
      <alignment horizontal="right"/>
    </xf>
    <xf numFmtId="5" fontId="19" fillId="6" borderId="1" xfId="3" applyNumberFormat="1" applyFont="1" applyFill="1" applyBorder="1" applyAlignment="1">
      <alignment horizontal="right"/>
    </xf>
    <xf numFmtId="164" fontId="19" fillId="6" borderId="1" xfId="2" applyNumberFormat="1" applyFont="1" applyFill="1" applyBorder="1"/>
    <xf numFmtId="0" fontId="19" fillId="6" borderId="7" xfId="1" applyFont="1" applyFill="1" applyBorder="1"/>
    <xf numFmtId="7" fontId="19" fillId="6" borderId="1" xfId="2" applyNumberFormat="1" applyFont="1" applyFill="1" applyBorder="1"/>
    <xf numFmtId="0" fontId="19" fillId="6" borderId="1" xfId="0" applyFont="1" applyFill="1" applyBorder="1" applyAlignment="1">
      <alignment horizontal="center"/>
    </xf>
    <xf numFmtId="0" fontId="20" fillId="6" borderId="1" xfId="0" applyFont="1" applyFill="1" applyBorder="1"/>
    <xf numFmtId="0" fontId="19" fillId="6" borderId="1" xfId="0" applyFont="1" applyFill="1" applyBorder="1" applyAlignment="1">
      <alignment horizontal="left"/>
    </xf>
    <xf numFmtId="165" fontId="19" fillId="6" borderId="1" xfId="0" applyNumberFormat="1" applyFont="1" applyFill="1" applyBorder="1"/>
    <xf numFmtId="0" fontId="2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165" fontId="22" fillId="0" borderId="0" xfId="5" applyNumberFormat="1" applyFont="1"/>
    <xf numFmtId="0" fontId="20" fillId="6" borderId="1" xfId="0" applyFont="1" applyFill="1" applyBorder="1" applyAlignment="1">
      <alignment horizontal="center"/>
    </xf>
    <xf numFmtId="42" fontId="19" fillId="6" borderId="1" xfId="2" applyNumberFormat="1" applyFont="1" applyFill="1" applyBorder="1"/>
    <xf numFmtId="42" fontId="22" fillId="0" borderId="0" xfId="0" applyNumberFormat="1" applyFont="1"/>
    <xf numFmtId="165" fontId="4" fillId="0" borderId="0" xfId="5" applyNumberFormat="1" applyFont="1" applyBorder="1"/>
    <xf numFmtId="165" fontId="4" fillId="0" borderId="0" xfId="5" applyNumberFormat="1" applyFont="1" applyFill="1" applyBorder="1"/>
    <xf numFmtId="37" fontId="2" fillId="3" borderId="0" xfId="2" applyNumberFormat="1" applyFont="1" applyFill="1" applyBorder="1"/>
    <xf numFmtId="37" fontId="2" fillId="0" borderId="0" xfId="2" applyNumberFormat="1" applyFont="1" applyFill="1" applyBorder="1"/>
    <xf numFmtId="5" fontId="22" fillId="0" borderId="0" xfId="0" applyNumberFormat="1" applyFont="1"/>
    <xf numFmtId="0" fontId="19" fillId="6" borderId="0" xfId="0" applyFont="1" applyFill="1"/>
    <xf numFmtId="42" fontId="19" fillId="6" borderId="0" xfId="2" applyNumberFormat="1" applyFont="1" applyFill="1" applyBorder="1"/>
    <xf numFmtId="165" fontId="2" fillId="0" borderId="0" xfId="5" applyNumberFormat="1" applyFont="1" applyFill="1" applyBorder="1"/>
    <xf numFmtId="0" fontId="3" fillId="4" borderId="0" xfId="0" applyFont="1" applyFill="1"/>
    <xf numFmtId="165" fontId="22" fillId="0" borderId="0" xfId="5" applyNumberFormat="1" applyFont="1" applyBorder="1"/>
    <xf numFmtId="0" fontId="20" fillId="6" borderId="3" xfId="0" applyFont="1" applyFill="1" applyBorder="1" applyAlignment="1">
      <alignment horizontal="center"/>
    </xf>
    <xf numFmtId="42" fontId="19" fillId="6" borderId="13" xfId="2" applyNumberFormat="1" applyFont="1" applyFill="1" applyBorder="1"/>
    <xf numFmtId="168" fontId="19" fillId="6" borderId="1" xfId="8" applyNumberFormat="1" applyFont="1" applyFill="1" applyBorder="1"/>
    <xf numFmtId="0" fontId="16" fillId="0" borderId="0" xfId="0" applyFont="1" applyAlignment="1">
      <alignment horizontal="center"/>
    </xf>
    <xf numFmtId="165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22" fillId="0" borderId="0" xfId="5" applyNumberFormat="1" applyFont="1" applyFill="1"/>
    <xf numFmtId="0" fontId="23" fillId="0" borderId="0" xfId="0" applyFont="1"/>
    <xf numFmtId="43" fontId="22" fillId="0" borderId="0" xfId="2" applyFont="1"/>
    <xf numFmtId="0" fontId="19" fillId="0" borderId="0" xfId="0" applyFont="1" applyAlignment="1">
      <alignment horizontal="center"/>
    </xf>
    <xf numFmtId="0" fontId="19" fillId="0" borderId="0" xfId="0" applyFont="1"/>
    <xf numFmtId="164" fontId="19" fillId="0" borderId="0" xfId="2" applyNumberFormat="1" applyFont="1" applyFill="1" applyBorder="1"/>
    <xf numFmtId="0" fontId="19" fillId="0" borderId="0" xfId="0" applyFont="1" applyAlignment="1">
      <alignment horizontal="left"/>
    </xf>
    <xf numFmtId="165" fontId="19" fillId="0" borderId="0" xfId="0" applyNumberFormat="1" applyFont="1"/>
    <xf numFmtId="0" fontId="19" fillId="6" borderId="1" xfId="0" applyFont="1" applyFill="1" applyBorder="1" applyAlignment="1">
      <alignment wrapText="1"/>
    </xf>
    <xf numFmtId="164" fontId="20" fillId="6" borderId="1" xfId="9" applyNumberFormat="1" applyFont="1" applyFill="1" applyBorder="1"/>
    <xf numFmtId="5" fontId="19" fillId="6" borderId="1" xfId="0" applyNumberFormat="1" applyFont="1" applyFill="1" applyBorder="1"/>
    <xf numFmtId="0" fontId="23" fillId="0" borderId="0" xfId="0" applyFont="1" applyAlignment="1">
      <alignment horizontal="left"/>
    </xf>
    <xf numFmtId="0" fontId="20" fillId="6" borderId="1" xfId="0" applyFont="1" applyFill="1" applyBorder="1" applyAlignment="1">
      <alignment horizontal="left" indent="1"/>
    </xf>
    <xf numFmtId="165" fontId="27" fillId="0" borderId="0" xfId="5" applyNumberFormat="1" applyFont="1" applyFill="1" applyBorder="1" applyAlignment="1">
      <alignment horizontal="right"/>
    </xf>
    <xf numFmtId="164" fontId="9" fillId="0" borderId="0" xfId="2" applyNumberFormat="1" applyFont="1" applyFill="1"/>
    <xf numFmtId="164" fontId="9" fillId="0" borderId="5" xfId="2" applyNumberFormat="1" applyFont="1" applyBorder="1"/>
    <xf numFmtId="5" fontId="19" fillId="6" borderId="13" xfId="0" applyNumberFormat="1" applyFont="1" applyFill="1" applyBorder="1"/>
    <xf numFmtId="0" fontId="20" fillId="6" borderId="14" xfId="0" applyFont="1" applyFill="1" applyBorder="1" applyAlignment="1">
      <alignment horizontal="center"/>
    </xf>
    <xf numFmtId="0" fontId="19" fillId="6" borderId="14" xfId="0" applyFont="1" applyFill="1" applyBorder="1"/>
    <xf numFmtId="0" fontId="20" fillId="6" borderId="14" xfId="0" applyFont="1" applyFill="1" applyBorder="1"/>
    <xf numFmtId="168" fontId="4" fillId="0" borderId="0" xfId="8" applyNumberFormat="1" applyFont="1"/>
    <xf numFmtId="164" fontId="3" fillId="3" borderId="1" xfId="2" applyNumberFormat="1" applyFont="1" applyFill="1" applyBorder="1"/>
    <xf numFmtId="164" fontId="3" fillId="0" borderId="1" xfId="2" applyNumberFormat="1" applyFont="1" applyFill="1" applyBorder="1"/>
    <xf numFmtId="164" fontId="3" fillId="0" borderId="1" xfId="2" applyNumberFormat="1" applyFont="1" applyBorder="1"/>
    <xf numFmtId="164" fontId="5" fillId="0" borderId="0" xfId="2" applyNumberFormat="1" applyFont="1" applyFill="1"/>
    <xf numFmtId="164" fontId="19" fillId="6" borderId="1" xfId="2" applyNumberFormat="1" applyFont="1" applyFill="1" applyBorder="1" applyAlignment="1">
      <alignment horizontal="right"/>
    </xf>
    <xf numFmtId="164" fontId="5" fillId="0" borderId="0" xfId="2" applyNumberFormat="1" applyFont="1" applyFill="1" applyAlignment="1">
      <alignment horizontal="right"/>
    </xf>
    <xf numFmtId="164" fontId="4" fillId="0" borderId="0" xfId="2" applyNumberFormat="1" applyFont="1" applyAlignment="1">
      <alignment horizontal="right"/>
    </xf>
    <xf numFmtId="168" fontId="4" fillId="0" borderId="0" xfId="0" applyNumberFormat="1" applyFont="1"/>
    <xf numFmtId="43" fontId="2" fillId="0" borderId="0" xfId="2" applyFont="1" applyFill="1" applyBorder="1"/>
    <xf numFmtId="165" fontId="9" fillId="0" borderId="0" xfId="0" applyNumberFormat="1" applyFont="1" applyAlignment="1">
      <alignment horizontal="right"/>
    </xf>
    <xf numFmtId="165" fontId="4" fillId="0" borderId="0" xfId="6" applyNumberFormat="1" applyFont="1" applyBorder="1"/>
    <xf numFmtId="165" fontId="4" fillId="0" borderId="0" xfId="6" applyNumberFormat="1" applyFont="1" applyFill="1" applyBorder="1"/>
    <xf numFmtId="37" fontId="2" fillId="0" borderId="0" xfId="9" applyNumberFormat="1" applyFont="1" applyFill="1" applyBorder="1"/>
    <xf numFmtId="0" fontId="4" fillId="0" borderId="4" xfId="0" applyFont="1" applyBorder="1" applyAlignment="1">
      <alignment horizontal="center"/>
    </xf>
    <xf numFmtId="42" fontId="19" fillId="6" borderId="1" xfId="9" applyNumberFormat="1" applyFont="1" applyFill="1" applyBorder="1"/>
    <xf numFmtId="168" fontId="19" fillId="6" borderId="1" xfId="9" applyNumberFormat="1" applyFont="1" applyFill="1" applyBorder="1"/>
    <xf numFmtId="168" fontId="22" fillId="0" borderId="0" xfId="0" applyNumberFormat="1" applyFont="1"/>
    <xf numFmtId="165" fontId="4" fillId="0" borderId="0" xfId="7" applyNumberFormat="1" applyFont="1" applyFill="1" applyBorder="1" applyAlignment="1">
      <alignment horizontal="right"/>
    </xf>
    <xf numFmtId="169" fontId="2" fillId="0" borderId="0" xfId="2" applyNumberFormat="1" applyFont="1" applyFill="1" applyBorder="1"/>
    <xf numFmtId="170" fontId="22" fillId="0" borderId="0" xfId="0" applyNumberFormat="1" applyFont="1"/>
    <xf numFmtId="164" fontId="20" fillId="6" borderId="1" xfId="2" applyNumberFormat="1" applyFont="1" applyFill="1" applyBorder="1"/>
    <xf numFmtId="37" fontId="4" fillId="0" borderId="0" xfId="0" applyNumberFormat="1" applyFont="1" applyAlignment="1">
      <alignment horizontal="right"/>
    </xf>
    <xf numFmtId="0" fontId="2" fillId="0" borderId="4" xfId="1" applyBorder="1" applyAlignment="1">
      <alignment horizontal="left" indent="1"/>
    </xf>
    <xf numFmtId="0" fontId="2" fillId="0" borderId="4" xfId="1" applyBorder="1"/>
    <xf numFmtId="0" fontId="2" fillId="0" borderId="4" xfId="1" applyBorder="1" applyAlignment="1">
      <alignment horizontal="left" indent="2"/>
    </xf>
    <xf numFmtId="0" fontId="2" fillId="0" borderId="6" xfId="1" applyBorder="1" applyAlignment="1">
      <alignment horizontal="left" indent="2"/>
    </xf>
    <xf numFmtId="0" fontId="29" fillId="6" borderId="3" xfId="4" applyFont="1" applyFill="1" applyBorder="1" applyAlignment="1" applyProtection="1">
      <alignment horizontal="center" vertical="center"/>
    </xf>
    <xf numFmtId="0" fontId="29" fillId="6" borderId="0" xfId="4" applyFont="1" applyFill="1" applyBorder="1" applyAlignment="1" applyProtection="1">
      <alignment horizontal="center" vertical="center"/>
    </xf>
    <xf numFmtId="0" fontId="30" fillId="0" borderId="0" xfId="4" applyFont="1" applyBorder="1" applyAlignment="1" applyProtection="1"/>
    <xf numFmtId="0" fontId="30" fillId="0" borderId="0" xfId="4" quotePrefix="1" applyFont="1" applyAlignment="1" applyProtection="1"/>
    <xf numFmtId="0" fontId="30" fillId="0" borderId="0" xfId="4" applyFont="1" applyAlignment="1" applyProtection="1"/>
    <xf numFmtId="0" fontId="5" fillId="0" borderId="15" xfId="0" applyFont="1" applyBorder="1" applyAlignment="1">
      <alignment horizontal="center" vertical="center"/>
    </xf>
    <xf numFmtId="0" fontId="30" fillId="0" borderId="0" xfId="4" applyFont="1" applyFill="1" applyAlignment="1" applyProtection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vertical="center" wrapText="1"/>
    </xf>
  </cellXfs>
  <cellStyles count="10">
    <cellStyle name="%" xfId="1" xr:uid="{00000000-0005-0000-0000-000000000000}"/>
    <cellStyle name="Comma" xfId="2" builtinId="3"/>
    <cellStyle name="Comma 2" xfId="3" xr:uid="{00000000-0005-0000-0000-000002000000}"/>
    <cellStyle name="Comma 2 2" xfId="9" xr:uid="{7FF4B589-6789-4E7D-AAC6-8FD4EF3114CB}"/>
    <cellStyle name="Currency" xfId="8" builtinId="4"/>
    <cellStyle name="Hyperlink" xfId="4" builtinId="8"/>
    <cellStyle name="Normal" xfId="0" builtinId="0"/>
    <cellStyle name="Percent" xfId="5" builtinId="5"/>
    <cellStyle name="Percent 2" xfId="6" xr:uid="{00000000-0005-0000-0000-000007000000}"/>
    <cellStyle name="Percent 3" xfId="7" xr:uid="{00000000-0005-0000-0000-000008000000}"/>
  </cellStyles>
  <dxfs count="0"/>
  <tableStyles count="0" defaultTableStyle="TableStyleMedium9" defaultPivotStyle="PivotStyleLight16"/>
  <colors>
    <mruColors>
      <color rgb="FFFF66FF"/>
      <color rgb="FFFF5C01"/>
      <color rgb="FFFF9966"/>
      <color rgb="FFFF937D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47627</xdr:colOff>
      <xdr:row>0</xdr:row>
      <xdr:rowOff>2</xdr:rowOff>
    </xdr:from>
    <xdr:to>
      <xdr:col>1</xdr:col>
      <xdr:colOff>335758</xdr:colOff>
      <xdr:row>1</xdr:row>
      <xdr:rowOff>366714</xdr:rowOff>
    </xdr:to>
    <xdr:pic>
      <xdr:nvPicPr>
        <xdr:cNvPr id="3" name="Picture 2" descr="cid:image001.png@01D7AA39.D1F7E16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7" y="2"/>
          <a:ext cx="931069" cy="5254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52917</xdr:colOff>
      <xdr:row>0</xdr:row>
      <xdr:rowOff>0</xdr:rowOff>
    </xdr:from>
    <xdr:to>
      <xdr:col>0</xdr:col>
      <xdr:colOff>833967</xdr:colOff>
      <xdr:row>1</xdr:row>
      <xdr:rowOff>270744</xdr:rowOff>
    </xdr:to>
    <xdr:pic>
      <xdr:nvPicPr>
        <xdr:cNvPr id="2" name="Picture 1" descr="cid:image001.png@01D7AA39.D1F7E160">
          <a:extLst>
            <a:ext uri="{FF2B5EF4-FFF2-40B4-BE49-F238E27FC236}">
              <a16:creationId xmlns:a16="http://schemas.microsoft.com/office/drawing/2014/main" id="{168189A8-B751-4979-9F76-E5413126790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7" y="0"/>
          <a:ext cx="762000" cy="422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1</xdr:row>
      <xdr:rowOff>259664</xdr:rowOff>
    </xdr:to>
    <xdr:pic>
      <xdr:nvPicPr>
        <xdr:cNvPr id="3" name="Picture 2" descr="cid:image001.png@01D7AA39.D1F7E160">
          <a:extLst>
            <a:ext uri="{FF2B5EF4-FFF2-40B4-BE49-F238E27FC236}">
              <a16:creationId xmlns:a16="http://schemas.microsoft.com/office/drawing/2014/main" id="{3EC02254-23F0-4949-BC3A-8E39D58448F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4233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2</xdr:row>
      <xdr:rowOff>90211</xdr:rowOff>
    </xdr:to>
    <xdr:pic>
      <xdr:nvPicPr>
        <xdr:cNvPr id="4" name="Picture 3" descr="cid:image001.png@01D7AA39.D1F7E160">
          <a:extLst>
            <a:ext uri="{FF2B5EF4-FFF2-40B4-BE49-F238E27FC236}">
              <a16:creationId xmlns:a16="http://schemas.microsoft.com/office/drawing/2014/main" id="{43A2AD35-0363-447C-A4EE-9F8298E9C78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4233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603250</xdr:colOff>
      <xdr:row>2</xdr:row>
      <xdr:rowOff>59731</xdr:rowOff>
    </xdr:to>
    <xdr:pic>
      <xdr:nvPicPr>
        <xdr:cNvPr id="2" name="Picture 1" descr="cid:image001.png@01D7AA39.D1F7E160">
          <a:extLst>
            <a:ext uri="{FF2B5EF4-FFF2-40B4-BE49-F238E27FC236}">
              <a16:creationId xmlns:a16="http://schemas.microsoft.com/office/drawing/2014/main" id="{2FE602F4-13F6-44D8-B8C2-14A6203D852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4233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606425</xdr:colOff>
      <xdr:row>2</xdr:row>
      <xdr:rowOff>51858</xdr:rowOff>
    </xdr:to>
    <xdr:pic>
      <xdr:nvPicPr>
        <xdr:cNvPr id="3" name="Picture 2" descr="cid:image001.png@01D7AA39.D1F7E160">
          <a:extLst>
            <a:ext uri="{FF2B5EF4-FFF2-40B4-BE49-F238E27FC236}">
              <a16:creationId xmlns:a16="http://schemas.microsoft.com/office/drawing/2014/main" id="{AEBE2103-D8F9-4467-99B6-8B76795F3CA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175" cy="4296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52917</xdr:colOff>
      <xdr:row>0</xdr:row>
      <xdr:rowOff>0</xdr:rowOff>
    </xdr:from>
    <xdr:to>
      <xdr:col>0</xdr:col>
      <xdr:colOff>814917</xdr:colOff>
      <xdr:row>1</xdr:row>
      <xdr:rowOff>254000</xdr:rowOff>
    </xdr:to>
    <xdr:pic>
      <xdr:nvPicPr>
        <xdr:cNvPr id="2" name="Picture 1" descr="cid:image001.png@01D7AA39.D1F7E160">
          <a:extLst>
            <a:ext uri="{FF2B5EF4-FFF2-40B4-BE49-F238E27FC236}">
              <a16:creationId xmlns:a16="http://schemas.microsoft.com/office/drawing/2014/main" id="{FD89F8C3-97EB-417C-8817-C614E3C1AAD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7" y="0"/>
          <a:ext cx="762000" cy="422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1</xdr:rowOff>
    </xdr:from>
    <xdr:to>
      <xdr:col>1</xdr:col>
      <xdr:colOff>568537</xdr:colOff>
      <xdr:row>2</xdr:row>
      <xdr:rowOff>19051</xdr:rowOff>
    </xdr:to>
    <xdr:pic>
      <xdr:nvPicPr>
        <xdr:cNvPr id="3" name="Picture 2" descr="cid:image001.png@01D7AA39.D1F7E16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1"/>
          <a:ext cx="687917" cy="349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437BC26-C258-4B78-AC1C-C8512E11E65D}">
  <we:reference id="wa200005292" version="1.0.33.0" store="en-US" storeType="OMEX"/>
  <we:alternateReferences>
    <we:reference id="wa200005292" version="1.0.33.0" store="wa200005292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J16"/>
  <sheetViews>
    <sheetView showGridLines="0" zoomScale="80" zoomScaleNormal="80" workbookViewId="0"/>
  </sheetViews>
  <sheetFormatPr defaultColWidth="9.1796875" defaultRowHeight="12.5" x14ac:dyDescent="0.25"/>
  <cols>
    <col min="1" max="1" width="9.1796875" style="2"/>
    <col min="2" max="2" width="36.453125" style="2" customWidth="1"/>
    <col min="3" max="16384" width="9.1796875" style="2"/>
  </cols>
  <sheetData>
    <row r="2" spans="1:10" ht="34.5" customHeight="1" x14ac:dyDescent="0.25">
      <c r="C2" s="76"/>
    </row>
    <row r="4" spans="1:10" ht="13" x14ac:dyDescent="0.3">
      <c r="A4" s="3">
        <v>1</v>
      </c>
      <c r="B4" s="207" t="s">
        <v>9</v>
      </c>
    </row>
    <row r="5" spans="1:10" ht="13" x14ac:dyDescent="0.3">
      <c r="A5" s="3">
        <v>2</v>
      </c>
      <c r="B5" s="207" t="s">
        <v>10</v>
      </c>
    </row>
    <row r="6" spans="1:10" ht="13" x14ac:dyDescent="0.3">
      <c r="A6" s="3">
        <v>3</v>
      </c>
      <c r="B6" s="207" t="s">
        <v>32</v>
      </c>
    </row>
    <row r="7" spans="1:10" ht="13" x14ac:dyDescent="0.3">
      <c r="A7" s="3">
        <v>4</v>
      </c>
      <c r="B7" s="211" t="s">
        <v>178</v>
      </c>
    </row>
    <row r="8" spans="1:10" ht="13" x14ac:dyDescent="0.3">
      <c r="A8" s="3">
        <v>5</v>
      </c>
      <c r="B8" s="208" t="s">
        <v>179</v>
      </c>
    </row>
    <row r="9" spans="1:10" ht="13" x14ac:dyDescent="0.3">
      <c r="A9" s="3">
        <v>6</v>
      </c>
      <c r="B9" s="209" t="s">
        <v>148</v>
      </c>
      <c r="C9" s="28"/>
      <c r="D9" s="28"/>
      <c r="E9" s="28"/>
      <c r="F9" s="28"/>
      <c r="G9" s="28"/>
      <c r="H9" s="28"/>
      <c r="I9" s="28"/>
      <c r="J9" s="28"/>
    </row>
    <row r="10" spans="1:10" ht="13" x14ac:dyDescent="0.3">
      <c r="A10" s="3">
        <v>7</v>
      </c>
      <c r="B10" s="207" t="s">
        <v>35</v>
      </c>
      <c r="C10" s="28"/>
      <c r="D10" s="28"/>
      <c r="E10" s="28"/>
      <c r="F10" s="28"/>
      <c r="G10" s="28"/>
      <c r="H10" s="28"/>
      <c r="I10" s="28"/>
      <c r="J10" s="28"/>
    </row>
    <row r="11" spans="1:10" x14ac:dyDescent="0.25">
      <c r="A11" s="28"/>
      <c r="B11" s="208"/>
      <c r="C11" s="28"/>
      <c r="D11" s="28"/>
      <c r="E11" s="28"/>
      <c r="F11" s="28"/>
      <c r="G11" s="28"/>
      <c r="H11" s="28"/>
      <c r="I11" s="28"/>
      <c r="J11" s="28"/>
    </row>
    <row r="12" spans="1:10" ht="13" x14ac:dyDescent="0.3">
      <c r="A12" s="28"/>
      <c r="B12" s="29"/>
      <c r="C12" s="28"/>
      <c r="D12" s="28"/>
      <c r="E12" s="28"/>
      <c r="F12" s="28"/>
      <c r="G12" s="28"/>
      <c r="H12" s="28"/>
      <c r="I12" s="28"/>
      <c r="J12" s="28"/>
    </row>
    <row r="13" spans="1:10" ht="13" x14ac:dyDescent="0.3">
      <c r="A13" s="28"/>
      <c r="B13" s="29"/>
      <c r="C13" s="28"/>
      <c r="D13" s="28"/>
      <c r="E13" s="28"/>
      <c r="F13" s="28"/>
      <c r="G13" s="28"/>
      <c r="H13" s="28"/>
      <c r="I13" s="28"/>
      <c r="J13" s="28"/>
    </row>
    <row r="14" spans="1:10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0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</row>
    <row r="16" spans="1:10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</row>
  </sheetData>
  <hyperlinks>
    <hyperlink ref="B4" location="'Income Statement'!A1" display="Income Statement" xr:uid="{00000000-0004-0000-0000-000000000000}"/>
    <hyperlink ref="B5" location="'Balance Sheet'!A1" display="Balance Sheet" xr:uid="{00000000-0004-0000-0000-000001000000}"/>
    <hyperlink ref="B6" location="Cashflow!A1" display="Cashflow Statement" xr:uid="{00000000-0004-0000-0000-000002000000}"/>
    <hyperlink ref="B10" location="'Other Metrics'!A1" display="Other metrics" xr:uid="{00000000-0004-0000-0000-000003000000}"/>
    <hyperlink ref="B9" location="'Non-GAAP'!A1" display="Non-GAAP" xr:uid="{93297CB1-A8B1-467B-BCDC-E009AF99227C}"/>
    <hyperlink ref="B8" location="'Revenue &amp; Margin (eff. 2025)'!A1" display="Revenue and Margin (effective 2025)" xr:uid="{C67EB0AD-6B8F-43AD-8F26-5C22293A3626}"/>
    <hyperlink ref="B7" location="'Revenue &amp; Margin (till 2024)'!Print_Area" display="Revenue and Margin" xr:uid="{5D137BBF-B8A3-4C14-8CAC-6E6964E44DBC}"/>
  </hyperlinks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3A709-D052-42CF-A377-1FE16C865CF9}">
  <sheetPr>
    <tabColor rgb="FF92D050"/>
    <pageSetUpPr fitToPage="1"/>
  </sheetPr>
  <dimension ref="A1:AP63"/>
  <sheetViews>
    <sheetView showGridLines="0" view="pageBreakPreview" zoomScale="80" zoomScaleNormal="55" zoomScaleSheetLayoutView="80" workbookViewId="0">
      <pane xSplit="1" ySplit="8" topLeftCell="Q9" activePane="bottomRight" state="frozen"/>
      <selection activeCell="B1" sqref="B1"/>
      <selection pane="topRight" activeCell="B1" sqref="B1"/>
      <selection pane="bottomLeft" activeCell="B1" sqref="B1"/>
      <selection pane="bottomRight" activeCell="AC52" sqref="AC52"/>
    </sheetView>
  </sheetViews>
  <sheetFormatPr defaultColWidth="9.1796875" defaultRowHeight="12.5" outlineLevelCol="1" x14ac:dyDescent="0.25"/>
  <cols>
    <col min="1" max="1" width="79.54296875" style="19" customWidth="1"/>
    <col min="2" max="5" width="12.1796875" style="19" hidden="1" customWidth="1" outlineLevel="1"/>
    <col min="6" max="6" width="12.1796875" style="19" customWidth="1" collapsed="1"/>
    <col min="7" max="10" width="12.1796875" style="19" customWidth="1" outlineLevel="1"/>
    <col min="11" max="11" width="12.1796875" style="19" customWidth="1"/>
    <col min="12" max="15" width="12.1796875" style="19" customWidth="1" outlineLevel="1"/>
    <col min="16" max="16" width="12.1796875" style="19" customWidth="1"/>
    <col min="17" max="20" width="12.1796875" style="19" customWidth="1" outlineLevel="1"/>
    <col min="21" max="24" width="12.1796875" style="19" customWidth="1"/>
    <col min="25" max="25" width="12.7265625" style="19" bestFit="1" customWidth="1"/>
    <col min="26" max="16384" width="9.1796875" style="19"/>
  </cols>
  <sheetData>
    <row r="1" spans="1:42" ht="13" x14ac:dyDescent="0.3">
      <c r="E1" s="95"/>
      <c r="U1" s="205" t="s">
        <v>162</v>
      </c>
      <c r="V1" s="206"/>
      <c r="W1" s="206"/>
      <c r="X1" s="206"/>
    </row>
    <row r="2" spans="1:42" ht="30.75" customHeight="1" x14ac:dyDescent="0.25">
      <c r="A2" s="6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</row>
    <row r="3" spans="1:42" ht="15" customHeight="1" x14ac:dyDescent="0.25"/>
    <row r="4" spans="1:42" s="4" customFormat="1" ht="13" x14ac:dyDescent="0.3">
      <c r="A4" s="20" t="s">
        <v>9</v>
      </c>
      <c r="B4" s="4">
        <v>2022</v>
      </c>
      <c r="C4" s="4">
        <v>2022</v>
      </c>
      <c r="D4" s="4">
        <v>2022</v>
      </c>
      <c r="E4" s="4">
        <v>2022</v>
      </c>
      <c r="F4" s="4">
        <v>2022</v>
      </c>
      <c r="G4" s="4">
        <v>2023</v>
      </c>
      <c r="H4" s="4">
        <v>2023</v>
      </c>
      <c r="I4" s="4">
        <v>2023</v>
      </c>
      <c r="J4" s="4">
        <v>2023</v>
      </c>
      <c r="K4" s="4">
        <v>2023</v>
      </c>
      <c r="L4" s="4">
        <v>2024</v>
      </c>
      <c r="M4" s="4">
        <v>2024</v>
      </c>
      <c r="N4" s="4">
        <v>2024</v>
      </c>
      <c r="O4" s="4">
        <v>2024</v>
      </c>
      <c r="P4" s="4">
        <v>2024</v>
      </c>
      <c r="Q4" s="4">
        <v>2025</v>
      </c>
      <c r="R4" s="4">
        <v>2025</v>
      </c>
      <c r="S4" s="4">
        <v>2025</v>
      </c>
      <c r="T4" s="4">
        <v>2025</v>
      </c>
      <c r="U4" s="4">
        <v>2025</v>
      </c>
      <c r="V4" s="4">
        <v>2026</v>
      </c>
      <c r="W4" s="4">
        <v>2026</v>
      </c>
      <c r="X4" s="4">
        <v>2026</v>
      </c>
    </row>
    <row r="5" spans="1:42" s="4" customFormat="1" ht="15" customHeight="1" x14ac:dyDescent="0.3">
      <c r="A5" s="20" t="s">
        <v>141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4</v>
      </c>
      <c r="M5" s="4" t="s">
        <v>5</v>
      </c>
      <c r="N5" s="4" t="s">
        <v>6</v>
      </c>
      <c r="O5" s="4" t="s">
        <v>7</v>
      </c>
      <c r="P5" s="4" t="s">
        <v>8</v>
      </c>
      <c r="Q5" s="4" t="s">
        <v>4</v>
      </c>
      <c r="R5" s="4" t="s">
        <v>5</v>
      </c>
      <c r="S5" s="4" t="s">
        <v>6</v>
      </c>
      <c r="T5" s="4" t="s">
        <v>7</v>
      </c>
      <c r="U5" s="4" t="s">
        <v>8</v>
      </c>
      <c r="V5" s="4" t="s">
        <v>4</v>
      </c>
      <c r="W5" s="4" t="s">
        <v>5</v>
      </c>
      <c r="X5" s="4" t="s">
        <v>6</v>
      </c>
    </row>
    <row r="6" spans="1:42" ht="6" customHeight="1" x14ac:dyDescent="0.25"/>
    <row r="7" spans="1:42" ht="6" customHeight="1" x14ac:dyDescent="0.25"/>
    <row r="8" spans="1:42" s="9" customFormat="1" ht="13" x14ac:dyDescent="0.3">
      <c r="A8" s="116" t="s">
        <v>174</v>
      </c>
      <c r="B8" s="117">
        <v>329208</v>
      </c>
      <c r="C8" s="117">
        <v>346782</v>
      </c>
      <c r="D8" s="117">
        <v>361351</v>
      </c>
      <c r="E8" s="117">
        <f>+F8-SUM(B8:D8)</f>
        <v>374703</v>
      </c>
      <c r="F8" s="117">
        <v>1412044</v>
      </c>
      <c r="G8" s="117">
        <v>400643</v>
      </c>
      <c r="H8" s="117">
        <v>404996</v>
      </c>
      <c r="I8" s="117">
        <v>410971</v>
      </c>
      <c r="J8" s="117">
        <f>+K8-SUM(G8:I8)</f>
        <v>414058</v>
      </c>
      <c r="K8" s="117">
        <v>1630668</v>
      </c>
      <c r="L8" s="117">
        <v>436507</v>
      </c>
      <c r="M8" s="117">
        <v>448366</v>
      </c>
      <c r="N8" s="117">
        <v>472073</v>
      </c>
      <c r="O8" s="117">
        <f>P8-SUM(L8:N8)</f>
        <v>481426</v>
      </c>
      <c r="P8" s="117">
        <v>1838372</v>
      </c>
      <c r="Q8" s="117">
        <v>501019</v>
      </c>
      <c r="R8" s="117">
        <v>514460</v>
      </c>
      <c r="S8" s="117">
        <v>529585</v>
      </c>
      <c r="T8" s="117">
        <f>U8-SUM(Q8:S8)</f>
        <v>542615</v>
      </c>
      <c r="U8" s="117">
        <v>2087679</v>
      </c>
      <c r="V8" s="117">
        <v>570351</v>
      </c>
      <c r="W8" s="117">
        <v>594763</v>
      </c>
      <c r="X8" s="117">
        <v>633959</v>
      </c>
      <c r="Y8" s="106"/>
    </row>
    <row r="9" spans="1:42" s="9" customFormat="1" ht="13" x14ac:dyDescent="0.3">
      <c r="A9" s="36" t="s">
        <v>182</v>
      </c>
      <c r="B9" s="68">
        <v>0.11411253887623563</v>
      </c>
      <c r="C9" s="68">
        <v>5.3382663847780121E-2</v>
      </c>
      <c r="D9" s="68">
        <v>4.2011984474396025E-2</v>
      </c>
      <c r="E9" s="68">
        <v>3.6950222913455288E-2</v>
      </c>
      <c r="F9" s="89" t="s">
        <v>41</v>
      </c>
      <c r="G9" s="68">
        <f>G8/E8-1</f>
        <v>6.9228162037667129E-2</v>
      </c>
      <c r="H9" s="68">
        <f>H8/G8-1</f>
        <v>1.0865034457110179E-2</v>
      </c>
      <c r="I9" s="68">
        <f>I8/H8-1</f>
        <v>1.4753232130687799E-2</v>
      </c>
      <c r="J9" s="68">
        <f>J8/I8-1</f>
        <v>7.511478912137326E-3</v>
      </c>
      <c r="K9" s="89" t="s">
        <v>41</v>
      </c>
      <c r="L9" s="68">
        <f>L8/J8-1</f>
        <v>5.4217042056909914E-2</v>
      </c>
      <c r="M9" s="68">
        <f>M8/L8-1</f>
        <v>2.7167949196690966E-2</v>
      </c>
      <c r="N9" s="68">
        <f>N8/M8-1</f>
        <v>5.2874214369510675E-2</v>
      </c>
      <c r="O9" s="68">
        <f>O8/N8-1</f>
        <v>1.9812613727114181E-2</v>
      </c>
      <c r="P9" s="89" t="s">
        <v>41</v>
      </c>
      <c r="Q9" s="89">
        <f>Q8/O8-1</f>
        <v>4.0697843489965191E-2</v>
      </c>
      <c r="R9" s="89">
        <f>R8/Q8-1</f>
        <v>2.6827325909795752E-2</v>
      </c>
      <c r="S9" s="89">
        <f>S8/R8-1</f>
        <v>2.9399758970571011E-2</v>
      </c>
      <c r="T9" s="68">
        <f>T8/S8-1</f>
        <v>2.4604171190649282E-2</v>
      </c>
      <c r="U9" s="89" t="s">
        <v>41</v>
      </c>
      <c r="V9" s="89">
        <f>V8/T8-1</f>
        <v>5.111543175179456E-2</v>
      </c>
      <c r="W9" s="89">
        <f>W8/V8-1</f>
        <v>4.280171333091376E-2</v>
      </c>
      <c r="X9" s="89">
        <f>X8/W8-1</f>
        <v>6.59018802447362E-2</v>
      </c>
      <c r="Y9" s="106"/>
    </row>
    <row r="10" spans="1:42" s="9" customFormat="1" ht="13" x14ac:dyDescent="0.3">
      <c r="A10" s="36" t="s">
        <v>183</v>
      </c>
      <c r="B10" s="25">
        <v>0.25933094887439512</v>
      </c>
      <c r="C10" s="25">
        <v>0.26073204781432691</v>
      </c>
      <c r="D10" s="25">
        <v>0.24464307241884087</v>
      </c>
      <c r="E10" s="25">
        <v>0.26807766109736741</v>
      </c>
      <c r="F10" s="25">
        <v>0.25817767730886665</v>
      </c>
      <c r="G10" s="25">
        <f>G8/B8-1</f>
        <v>0.21699047410755501</v>
      </c>
      <c r="H10" s="25">
        <f t="shared" ref="H10:I10" si="0">H8/C8-1</f>
        <v>0.16786915122468882</v>
      </c>
      <c r="I10" s="25">
        <f t="shared" si="0"/>
        <v>0.13731800935932093</v>
      </c>
      <c r="J10" s="25">
        <f t="shared" ref="J10:S10" si="1">J8/E8-1</f>
        <v>0.10502985030811063</v>
      </c>
      <c r="K10" s="25">
        <f t="shared" si="1"/>
        <v>0.15482803652010846</v>
      </c>
      <c r="L10" s="25">
        <f t="shared" si="1"/>
        <v>8.9516102864645175E-2</v>
      </c>
      <c r="M10" s="25">
        <f t="shared" si="1"/>
        <v>0.10708747740718416</v>
      </c>
      <c r="N10" s="25">
        <f t="shared" si="1"/>
        <v>0.14867715726900443</v>
      </c>
      <c r="O10" s="25">
        <f t="shared" si="1"/>
        <v>0.16270184370305607</v>
      </c>
      <c r="P10" s="25">
        <f t="shared" si="1"/>
        <v>0.1273735671516214</v>
      </c>
      <c r="Q10" s="25">
        <f t="shared" si="1"/>
        <v>0.14779144435255342</v>
      </c>
      <c r="R10" s="25">
        <f t="shared" si="1"/>
        <v>0.14741082062422217</v>
      </c>
      <c r="S10" s="25">
        <f t="shared" si="1"/>
        <v>0.12182861548955359</v>
      </c>
      <c r="T10" s="25">
        <f t="shared" ref="T10" si="2">T8/O8-1</f>
        <v>0.12709949192606973</v>
      </c>
      <c r="U10" s="25">
        <f t="shared" ref="U10:X10" si="3">U8/P8-1</f>
        <v>0.13561292273816172</v>
      </c>
      <c r="V10" s="25">
        <f t="shared" si="3"/>
        <v>0.13838197752979431</v>
      </c>
      <c r="W10" s="25">
        <f t="shared" si="3"/>
        <v>0.15609182443727398</v>
      </c>
      <c r="X10" s="25">
        <f t="shared" si="3"/>
        <v>0.19708639783981807</v>
      </c>
      <c r="Y10" s="106"/>
    </row>
    <row r="11" spans="1:42" s="9" customFormat="1" ht="13" x14ac:dyDescent="0.3">
      <c r="A11" s="36" t="s">
        <v>184</v>
      </c>
      <c r="B11" s="68">
        <v>0.26501976341791211</v>
      </c>
      <c r="C11" s="68">
        <v>0.27568127445590584</v>
      </c>
      <c r="D11" s="68">
        <v>0.26422748555478948</v>
      </c>
      <c r="E11" s="68">
        <v>0.28616981913631379</v>
      </c>
      <c r="F11" s="68">
        <v>0.27302096514315943</v>
      </c>
      <c r="G11" s="68">
        <v>0.23003700227235901</v>
      </c>
      <c r="H11" s="68">
        <v>0.17107155375930061</v>
      </c>
      <c r="I11" s="68">
        <v>0.13203389810483412</v>
      </c>
      <c r="J11" s="68">
        <v>0.10130271668599766</v>
      </c>
      <c r="K11" s="68">
        <v>0.15631493969436305</v>
      </c>
      <c r="L11" s="68">
        <v>8.831214494408246E-2</v>
      </c>
      <c r="M11" s="68">
        <v>0.10769557469535829</v>
      </c>
      <c r="N11" s="68">
        <v>0.14518131086536834</v>
      </c>
      <c r="O11" s="68">
        <v>0.16343360170872878</v>
      </c>
      <c r="P11" s="68">
        <v>0.12653352896162784</v>
      </c>
      <c r="Q11" s="68">
        <v>0.15146601290369355</v>
      </c>
      <c r="R11" s="68">
        <v>0.1460612586155936</v>
      </c>
      <c r="S11" s="68">
        <v>0.12330461704982687</v>
      </c>
      <c r="T11" s="68">
        <v>0.1264388012212605</v>
      </c>
      <c r="U11" s="68">
        <v>0.13636227592108496</v>
      </c>
      <c r="V11" s="68">
        <v>0.13372926340684654</v>
      </c>
      <c r="W11" s="25">
        <v>0.15940970443855473</v>
      </c>
      <c r="X11" s="68">
        <v>0.19908695218502492</v>
      </c>
      <c r="Y11" s="106"/>
    </row>
    <row r="12" spans="1:42" s="9" customFormat="1" ht="6" customHeight="1" x14ac:dyDescent="0.3">
      <c r="A12" s="36"/>
      <c r="Y12" s="106"/>
    </row>
    <row r="13" spans="1:42" ht="15" x14ac:dyDescent="0.3">
      <c r="A13" s="201" t="s">
        <v>175</v>
      </c>
      <c r="B13" s="71">
        <v>-207516</v>
      </c>
      <c r="C13" s="71">
        <v>-221207</v>
      </c>
      <c r="D13" s="71">
        <v>-230462</v>
      </c>
      <c r="E13" s="71">
        <f>+F13-SUM(B13:D13)</f>
        <v>-237410</v>
      </c>
      <c r="F13" s="71">
        <v>-896595</v>
      </c>
      <c r="G13" s="71">
        <v>-251469</v>
      </c>
      <c r="H13" s="71">
        <v>-253220</v>
      </c>
      <c r="I13" s="71">
        <v>-256002</v>
      </c>
      <c r="J13" s="71">
        <f>+K13-SUM(G13:I13)</f>
        <v>-262211</v>
      </c>
      <c r="K13" s="71">
        <v>-1022902</v>
      </c>
      <c r="L13" s="71">
        <v>-273424</v>
      </c>
      <c r="M13" s="71">
        <v>-282106</v>
      </c>
      <c r="N13" s="71">
        <v>-293806</v>
      </c>
      <c r="O13" s="71">
        <f>P13-SUM(L13:N13)</f>
        <v>-298023</v>
      </c>
      <c r="P13" s="71">
        <v>-1147359</v>
      </c>
      <c r="Q13" s="71">
        <v>-307705</v>
      </c>
      <c r="R13" s="71">
        <v>-320272</v>
      </c>
      <c r="S13" s="71">
        <v>-325649</v>
      </c>
      <c r="T13" s="71">
        <f>U13-SUM(Q13:S13)</f>
        <v>-332977</v>
      </c>
      <c r="U13" s="71">
        <v>-1286603</v>
      </c>
      <c r="V13" s="71">
        <v>-348270</v>
      </c>
      <c r="W13" s="71">
        <v>-368800</v>
      </c>
      <c r="X13" s="71">
        <v>-392824</v>
      </c>
      <c r="Y13" s="106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9" customFormat="1" ht="15" x14ac:dyDescent="0.3">
      <c r="A14" s="37" t="s">
        <v>165</v>
      </c>
      <c r="B14" s="182">
        <f t="shared" ref="B14:H14" si="4">B8+B13</f>
        <v>121692</v>
      </c>
      <c r="C14" s="182">
        <f t="shared" si="4"/>
        <v>125575</v>
      </c>
      <c r="D14" s="182">
        <f t="shared" si="4"/>
        <v>130889</v>
      </c>
      <c r="E14" s="182">
        <f t="shared" si="4"/>
        <v>137293</v>
      </c>
      <c r="F14" s="182">
        <f t="shared" si="4"/>
        <v>515449</v>
      </c>
      <c r="G14" s="182">
        <f t="shared" si="4"/>
        <v>149174</v>
      </c>
      <c r="H14" s="182">
        <f t="shared" si="4"/>
        <v>151776</v>
      </c>
      <c r="I14" s="182">
        <f t="shared" ref="I14:L14" si="5">I8+I13</f>
        <v>154969</v>
      </c>
      <c r="J14" s="182">
        <f t="shared" si="5"/>
        <v>151847</v>
      </c>
      <c r="K14" s="182">
        <f t="shared" si="5"/>
        <v>607766</v>
      </c>
      <c r="L14" s="182">
        <f t="shared" si="5"/>
        <v>163083</v>
      </c>
      <c r="M14" s="182">
        <f t="shared" ref="M14:N14" si="6">M8+M13</f>
        <v>166260</v>
      </c>
      <c r="N14" s="182">
        <f t="shared" si="6"/>
        <v>178267</v>
      </c>
      <c r="O14" s="182">
        <f t="shared" ref="O14:P14" si="7">O8+O13</f>
        <v>183403</v>
      </c>
      <c r="P14" s="182">
        <f t="shared" si="7"/>
        <v>691013</v>
      </c>
      <c r="Q14" s="182">
        <f t="shared" ref="Q14:V14" si="8">Q8+Q13</f>
        <v>193314</v>
      </c>
      <c r="R14" s="182">
        <f t="shared" si="8"/>
        <v>194188</v>
      </c>
      <c r="S14" s="182">
        <f t="shared" si="8"/>
        <v>203936</v>
      </c>
      <c r="T14" s="182">
        <f t="shared" si="8"/>
        <v>209638</v>
      </c>
      <c r="U14" s="182">
        <f t="shared" si="8"/>
        <v>801076</v>
      </c>
      <c r="V14" s="182">
        <f t="shared" si="8"/>
        <v>222081</v>
      </c>
      <c r="W14" s="182">
        <f t="shared" ref="W14:X14" si="9">W8+W13</f>
        <v>225963</v>
      </c>
      <c r="X14" s="182">
        <f t="shared" si="9"/>
        <v>241135</v>
      </c>
      <c r="Y14" s="106"/>
    </row>
    <row r="15" spans="1:42" ht="13" x14ac:dyDescent="0.3">
      <c r="A15" s="36" t="s">
        <v>185</v>
      </c>
      <c r="B15" s="68">
        <f t="shared" ref="B15:C15" si="10">B14/B8</f>
        <v>0.3696507982795072</v>
      </c>
      <c r="C15" s="68">
        <f t="shared" si="10"/>
        <v>0.36211510401347247</v>
      </c>
      <c r="D15" s="68">
        <f>D14/D8</f>
        <v>0.36222121981120847</v>
      </c>
      <c r="E15" s="68">
        <f t="shared" ref="E15:H15" si="11">E14/E8</f>
        <v>0.36640485931524436</v>
      </c>
      <c r="F15" s="68">
        <f t="shared" si="11"/>
        <v>0.36503749174954886</v>
      </c>
      <c r="G15" s="68">
        <f t="shared" si="11"/>
        <v>0.37233646912588014</v>
      </c>
      <c r="H15" s="68">
        <f t="shared" si="11"/>
        <v>0.37475925688154943</v>
      </c>
      <c r="I15" s="68">
        <f t="shared" ref="I15:L15" si="12">I14/I8</f>
        <v>0.37708013460803802</v>
      </c>
      <c r="J15" s="68">
        <f t="shared" si="12"/>
        <v>0.3667288157697714</v>
      </c>
      <c r="K15" s="68">
        <f t="shared" si="12"/>
        <v>0.37270983425197529</v>
      </c>
      <c r="L15" s="68">
        <f t="shared" si="12"/>
        <v>0.37360912883413094</v>
      </c>
      <c r="M15" s="68">
        <f t="shared" ref="M15:N15" si="13">M14/M8</f>
        <v>0.37081313034440611</v>
      </c>
      <c r="N15" s="68">
        <f t="shared" si="13"/>
        <v>0.37762591802539014</v>
      </c>
      <c r="O15" s="68">
        <f t="shared" ref="O15:P15" si="14">O14/O8</f>
        <v>0.38095782113969751</v>
      </c>
      <c r="P15" s="68">
        <f t="shared" si="14"/>
        <v>0.37588311832425647</v>
      </c>
      <c r="Q15" s="68">
        <f t="shared" ref="Q15:U15" si="15">Q14/Q8</f>
        <v>0.38584165470770571</v>
      </c>
      <c r="R15" s="68">
        <f t="shared" si="15"/>
        <v>0.37745986082494265</v>
      </c>
      <c r="S15" s="68">
        <f t="shared" si="15"/>
        <v>0.38508643560523809</v>
      </c>
      <c r="T15" s="68">
        <f t="shared" si="15"/>
        <v>0.3863475945191342</v>
      </c>
      <c r="U15" s="68">
        <f t="shared" si="15"/>
        <v>0.38371607895658288</v>
      </c>
      <c r="V15" s="68">
        <f>IFERROR(V14/V8,0)</f>
        <v>0.38937601582183601</v>
      </c>
      <c r="W15" s="68">
        <f>IFERROR(W14/W8,0)</f>
        <v>0.37992107780746281</v>
      </c>
      <c r="X15" s="68">
        <f>IFERROR(X14/X8,0)</f>
        <v>0.380363714372696</v>
      </c>
      <c r="Y15" s="106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ht="6" customHeight="1" x14ac:dyDescent="0.3">
      <c r="A16" s="36"/>
      <c r="Y16" s="106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ht="13" x14ac:dyDescent="0.3">
      <c r="A17" s="37" t="s">
        <v>37</v>
      </c>
      <c r="Y17" s="106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ht="13" x14ac:dyDescent="0.3">
      <c r="A18" s="201" t="s">
        <v>1</v>
      </c>
      <c r="B18" s="71">
        <v>-39945</v>
      </c>
      <c r="C18" s="71">
        <v>-40434</v>
      </c>
      <c r="D18" s="71">
        <v>-42519</v>
      </c>
      <c r="E18" s="71">
        <f>+F18-SUM(B18:D18)</f>
        <v>-46118</v>
      </c>
      <c r="F18" s="71">
        <v>-169016</v>
      </c>
      <c r="G18" s="71">
        <v>-46746</v>
      </c>
      <c r="H18" s="71">
        <v>-45605</v>
      </c>
      <c r="I18" s="71">
        <v>-52213</v>
      </c>
      <c r="J18" s="71">
        <f>+K18-SUM(G18:I18)</f>
        <v>-53730</v>
      </c>
      <c r="K18" s="71">
        <v>-198294</v>
      </c>
      <c r="L18" s="71">
        <v>-53243</v>
      </c>
      <c r="M18" s="71">
        <v>-56457</v>
      </c>
      <c r="N18" s="71">
        <v>-57495</v>
      </c>
      <c r="O18" s="71">
        <f>P18-SUM(L18:N18)</f>
        <v>-58477</v>
      </c>
      <c r="P18" s="71">
        <v>-225672</v>
      </c>
      <c r="Q18" s="71">
        <v>-59417</v>
      </c>
      <c r="R18" s="71">
        <v>-59549</v>
      </c>
      <c r="S18" s="71">
        <v>-66251</v>
      </c>
      <c r="T18" s="71">
        <f>U18-SUM(Q18:S18)</f>
        <v>-70091</v>
      </c>
      <c r="U18" s="71">
        <v>-255308</v>
      </c>
      <c r="V18" s="71">
        <v>-69051</v>
      </c>
      <c r="W18" s="71">
        <v>-74436</v>
      </c>
      <c r="X18" s="71">
        <v>-79872</v>
      </c>
      <c r="Y18" s="106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ht="13" x14ac:dyDescent="0.3">
      <c r="A19" s="36" t="s">
        <v>64</v>
      </c>
      <c r="B19" s="68">
        <f t="shared" ref="B19:K19" si="16">-B18/B$8</f>
        <v>0.12133666253553985</v>
      </c>
      <c r="C19" s="68">
        <f t="shared" si="16"/>
        <v>0.11659774728792152</v>
      </c>
      <c r="D19" s="68">
        <f t="shared" si="16"/>
        <v>0.1176667561456866</v>
      </c>
      <c r="E19" s="68">
        <f t="shared" si="16"/>
        <v>0.12307881175224111</v>
      </c>
      <c r="F19" s="68">
        <f t="shared" si="16"/>
        <v>0.11969598681060931</v>
      </c>
      <c r="G19" s="68">
        <f t="shared" si="16"/>
        <v>0.11667744101357068</v>
      </c>
      <c r="H19" s="68">
        <f t="shared" si="16"/>
        <v>0.11260605043012771</v>
      </c>
      <c r="I19" s="68">
        <f t="shared" ref="I19:J19" si="17">-I18/I$8</f>
        <v>0.12704789389032317</v>
      </c>
      <c r="J19" s="68">
        <f t="shared" si="17"/>
        <v>0.12976442913794686</v>
      </c>
      <c r="K19" s="68">
        <f t="shared" si="16"/>
        <v>0.12160292591747676</v>
      </c>
      <c r="L19" s="68">
        <f t="shared" ref="L19:M19" si="18">-L18/L$8</f>
        <v>0.12197513441937929</v>
      </c>
      <c r="M19" s="68">
        <f t="shared" si="18"/>
        <v>0.12591721941449618</v>
      </c>
      <c r="N19" s="68">
        <f t="shared" ref="N19:O19" si="19">-N18/N$8</f>
        <v>0.12179260410995757</v>
      </c>
      <c r="O19" s="68">
        <f t="shared" si="19"/>
        <v>0.12146622741605148</v>
      </c>
      <c r="P19" s="68">
        <f t="shared" ref="P19:T19" si="20">-P18/P$8</f>
        <v>0.12275643884915567</v>
      </c>
      <c r="Q19" s="68">
        <f t="shared" si="20"/>
        <v>0.11859230887451375</v>
      </c>
      <c r="R19" s="68">
        <f t="shared" si="20"/>
        <v>0.11575049566535785</v>
      </c>
      <c r="S19" s="68">
        <f t="shared" si="20"/>
        <v>0.1250998423293711</v>
      </c>
      <c r="T19" s="68">
        <f t="shared" si="20"/>
        <v>0.12917261778609143</v>
      </c>
      <c r="U19" s="68">
        <f t="shared" ref="U19" si="21">-U18/U$8</f>
        <v>0.12229274711294218</v>
      </c>
      <c r="V19" s="68">
        <f>-IFERROR(V18/V$8,0)</f>
        <v>0.12106755313833061</v>
      </c>
      <c r="W19" s="68">
        <f>-IFERROR(W18/W$8,0)</f>
        <v>0.12515237161692977</v>
      </c>
      <c r="X19" s="68">
        <f>-IFERROR(X18/X$8,0)</f>
        <v>0.1259892201230679</v>
      </c>
      <c r="Y19" s="106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ht="6" customHeight="1" x14ac:dyDescent="0.3">
      <c r="A20" s="36"/>
      <c r="Y20" s="106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ht="13" x14ac:dyDescent="0.3">
      <c r="A21" s="201" t="s">
        <v>2</v>
      </c>
      <c r="B21" s="71">
        <v>-24170</v>
      </c>
      <c r="C21" s="71">
        <v>-23985</v>
      </c>
      <c r="D21" s="71">
        <v>-23879</v>
      </c>
      <c r="E21" s="71">
        <f>+F21-SUM(B21:D21)</f>
        <v>-25955</v>
      </c>
      <c r="F21" s="71">
        <v>-97989</v>
      </c>
      <c r="G21" s="71">
        <v>-29493</v>
      </c>
      <c r="H21" s="71">
        <v>-28238</v>
      </c>
      <c r="I21" s="71">
        <v>-30943</v>
      </c>
      <c r="J21" s="71">
        <f>+K21-SUM(G21:I21)</f>
        <v>-31553</v>
      </c>
      <c r="K21" s="71">
        <v>-120227</v>
      </c>
      <c r="L21" s="71">
        <v>-35970</v>
      </c>
      <c r="M21" s="71">
        <v>-35444</v>
      </c>
      <c r="N21" s="71">
        <v>-37568</v>
      </c>
      <c r="O21" s="71">
        <f>P21-SUM(L21:N21)</f>
        <v>-37520</v>
      </c>
      <c r="P21" s="71">
        <v>-146502</v>
      </c>
      <c r="Q21" s="71">
        <v>-41925</v>
      </c>
      <c r="R21" s="71">
        <v>-39446</v>
      </c>
      <c r="S21" s="71">
        <v>-46383</v>
      </c>
      <c r="T21" s="71">
        <f>U21-SUM(Q21:S21)</f>
        <v>-45180</v>
      </c>
      <c r="U21" s="71">
        <v>-172934</v>
      </c>
      <c r="V21" s="71">
        <v>-47201</v>
      </c>
      <c r="W21" s="71">
        <v>-49628</v>
      </c>
      <c r="X21" s="71">
        <v>-53542</v>
      </c>
      <c r="Y21" s="106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ht="13" x14ac:dyDescent="0.3">
      <c r="A22" s="36" t="s">
        <v>64</v>
      </c>
      <c r="B22" s="68">
        <f>-B21/B$8</f>
        <v>7.3418628951908829E-2</v>
      </c>
      <c r="C22" s="68">
        <f>-C21/C$8</f>
        <v>6.916448950637577E-2</v>
      </c>
      <c r="D22" s="68">
        <f>-D21/D$8</f>
        <v>6.6082562383942486E-2</v>
      </c>
      <c r="E22" s="68">
        <f>ROUNDDOWN(-E21/E$8,3)</f>
        <v>6.9000000000000006E-2</v>
      </c>
      <c r="F22" s="68">
        <f t="shared" ref="F22:J22" si="22">-F21/F$8</f>
        <v>6.9395146326884996E-2</v>
      </c>
      <c r="G22" s="68">
        <f t="shared" si="22"/>
        <v>7.3614165229393749E-2</v>
      </c>
      <c r="H22" s="68">
        <f t="shared" si="22"/>
        <v>6.9724145423658498E-2</v>
      </c>
      <c r="I22" s="68">
        <f t="shared" si="22"/>
        <v>7.5292417226519637E-2</v>
      </c>
      <c r="J22" s="68">
        <f t="shared" si="22"/>
        <v>7.6204299880693049E-2</v>
      </c>
      <c r="K22" s="68">
        <f>ROUNDDOWN(-K21/K$8,3)</f>
        <v>7.2999999999999995E-2</v>
      </c>
      <c r="L22" s="68">
        <f t="shared" ref="L22:M22" si="23">-L21/L$8</f>
        <v>8.2404176794415668E-2</v>
      </c>
      <c r="M22" s="68">
        <f t="shared" si="23"/>
        <v>7.9051489185174614E-2</v>
      </c>
      <c r="N22" s="68">
        <f t="shared" ref="N22:O22" si="24">-N21/N$8</f>
        <v>7.9580912274160989E-2</v>
      </c>
      <c r="O22" s="68">
        <f t="shared" si="24"/>
        <v>7.7935134371637599E-2</v>
      </c>
      <c r="P22" s="68">
        <f t="shared" ref="P22:T22" si="25">-P21/P$8</f>
        <v>7.9691161527699506E-2</v>
      </c>
      <c r="Q22" s="68">
        <f t="shared" si="25"/>
        <v>8.3679461257956292E-2</v>
      </c>
      <c r="R22" s="68">
        <f t="shared" si="25"/>
        <v>7.6674571395249386E-2</v>
      </c>
      <c r="S22" s="68">
        <f t="shared" si="25"/>
        <v>8.7583674008893761E-2</v>
      </c>
      <c r="T22" s="68">
        <f t="shared" si="25"/>
        <v>8.3263455672990982E-2</v>
      </c>
      <c r="U22" s="68">
        <f t="shared" ref="U22" si="26">-U21/U$8</f>
        <v>8.2835531707700277E-2</v>
      </c>
      <c r="V22" s="68">
        <f>-IFERROR(V21/V$8,0)</f>
        <v>8.2757810541228119E-2</v>
      </c>
      <c r="W22" s="68">
        <f>-IFERROR(W21/W$8,0)</f>
        <v>8.344163977920617E-2</v>
      </c>
      <c r="X22" s="68">
        <f>-IFERROR(X21/X$8,0)</f>
        <v>8.4456565803151307E-2</v>
      </c>
      <c r="Y22" s="106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ht="6" customHeight="1" x14ac:dyDescent="0.3">
      <c r="A23" s="36"/>
      <c r="Y23" s="106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ht="13" x14ac:dyDescent="0.3">
      <c r="A24" s="201" t="s">
        <v>98</v>
      </c>
      <c r="B24" s="22">
        <v>-13602</v>
      </c>
      <c r="C24" s="22">
        <v>-14075</v>
      </c>
      <c r="D24" s="22">
        <v>-14380</v>
      </c>
      <c r="E24" s="22">
        <f>+F24-SUM(B24:D24)</f>
        <v>-14225</v>
      </c>
      <c r="F24" s="22">
        <v>-56282</v>
      </c>
      <c r="G24" s="22">
        <v>-13487</v>
      </c>
      <c r="H24" s="22">
        <v>-13122</v>
      </c>
      <c r="I24" s="22">
        <v>-11583</v>
      </c>
      <c r="J24" s="22">
        <f>+K24-SUM(G24:I24)</f>
        <v>-12298</v>
      </c>
      <c r="K24" s="22">
        <v>-50490</v>
      </c>
      <c r="L24" s="22">
        <v>-12346</v>
      </c>
      <c r="M24" s="22">
        <v>-12910</v>
      </c>
      <c r="N24" s="22">
        <v>-13799</v>
      </c>
      <c r="O24" s="71">
        <f>P24-SUM(L24:N24)</f>
        <v>-16164</v>
      </c>
      <c r="P24" s="22">
        <v>-55219</v>
      </c>
      <c r="Q24" s="22">
        <v>-13557</v>
      </c>
      <c r="R24" s="22">
        <v>-14055</v>
      </c>
      <c r="S24" s="22">
        <v>-15128</v>
      </c>
      <c r="T24" s="71">
        <f>U24-SUM(Q24:S24)</f>
        <v>-16344</v>
      </c>
      <c r="U24" s="22">
        <v>-59084</v>
      </c>
      <c r="V24" s="22">
        <v>-14003</v>
      </c>
      <c r="W24" s="22">
        <v>-14604</v>
      </c>
      <c r="X24" s="22">
        <v>-18865</v>
      </c>
      <c r="Y24" s="106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ht="13" x14ac:dyDescent="0.3">
      <c r="A25" s="36" t="s">
        <v>64</v>
      </c>
      <c r="B25" s="25">
        <f t="shared" ref="B25:H25" si="27">-B24/B$8</f>
        <v>4.1317343442443685E-2</v>
      </c>
      <c r="C25" s="25">
        <f t="shared" si="27"/>
        <v>4.0587458403261993E-2</v>
      </c>
      <c r="D25" s="25">
        <f t="shared" si="27"/>
        <v>3.9795102268985007E-2</v>
      </c>
      <c r="E25" s="25">
        <f t="shared" si="27"/>
        <v>3.7963400346407689E-2</v>
      </c>
      <c r="F25" s="25">
        <f t="shared" si="27"/>
        <v>3.9858531320553753E-2</v>
      </c>
      <c r="G25" s="25">
        <f t="shared" si="27"/>
        <v>3.3663386106833268E-2</v>
      </c>
      <c r="H25" s="25">
        <f t="shared" si="27"/>
        <v>3.2400320003160524E-2</v>
      </c>
      <c r="I25" s="25">
        <f t="shared" ref="I25:L25" si="28">-I24/I$8</f>
        <v>2.81844704370868E-2</v>
      </c>
      <c r="J25" s="25">
        <f t="shared" si="28"/>
        <v>2.9701152978568221E-2</v>
      </c>
      <c r="K25" s="25">
        <f t="shared" si="28"/>
        <v>3.096277108522397E-2</v>
      </c>
      <c r="L25" s="25">
        <f t="shared" si="28"/>
        <v>2.828362431759399E-2</v>
      </c>
      <c r="M25" s="25">
        <f t="shared" ref="M25:N25" si="29">-M24/M$8</f>
        <v>2.8793441072695075E-2</v>
      </c>
      <c r="N25" s="25">
        <f t="shared" si="29"/>
        <v>2.923064864967918E-2</v>
      </c>
      <c r="O25" s="25">
        <f t="shared" ref="O25:P25" si="30">-O24/O$8</f>
        <v>3.3575253517674576E-2</v>
      </c>
      <c r="P25" s="25">
        <f t="shared" si="30"/>
        <v>3.0036902215656025E-2</v>
      </c>
      <c r="Q25" s="25">
        <f t="shared" ref="Q25:U25" si="31">-Q24/Q$8</f>
        <v>2.7058854055435025E-2</v>
      </c>
      <c r="R25" s="25">
        <f t="shared" si="31"/>
        <v>2.7319908253314155E-2</v>
      </c>
      <c r="S25" s="25">
        <f t="shared" si="31"/>
        <v>2.8565763758414606E-2</v>
      </c>
      <c r="T25" s="25">
        <f t="shared" si="31"/>
        <v>3.0120803884890759E-2</v>
      </c>
      <c r="U25" s="25">
        <f t="shared" si="31"/>
        <v>2.8301285781961689E-2</v>
      </c>
      <c r="V25" s="25">
        <f>-IFERROR(V24/V$8,0)</f>
        <v>2.4551548081795247E-2</v>
      </c>
      <c r="W25" s="25">
        <f>-IFERROR(W24/W$8,0)</f>
        <v>2.4554318274674115E-2</v>
      </c>
      <c r="X25" s="25">
        <f>-IFERROR(X24/X$8,0)</f>
        <v>2.975744488208228E-2</v>
      </c>
      <c r="Y25" s="106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ht="6" customHeight="1" x14ac:dyDescent="0.3">
      <c r="A26" s="36"/>
      <c r="Y26" s="106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s="9" customFormat="1" ht="13" x14ac:dyDescent="0.3">
      <c r="A27" s="37" t="s">
        <v>3</v>
      </c>
      <c r="B27" s="21">
        <f t="shared" ref="B27:S27" si="32">B18+B21+B24</f>
        <v>-77717</v>
      </c>
      <c r="C27" s="21">
        <f t="shared" si="32"/>
        <v>-78494</v>
      </c>
      <c r="D27" s="21">
        <f t="shared" si="32"/>
        <v>-80778</v>
      </c>
      <c r="E27" s="21">
        <f t="shared" si="32"/>
        <v>-86298</v>
      </c>
      <c r="F27" s="21">
        <f t="shared" si="32"/>
        <v>-323287</v>
      </c>
      <c r="G27" s="21">
        <f t="shared" si="32"/>
        <v>-89726</v>
      </c>
      <c r="H27" s="21">
        <f t="shared" si="32"/>
        <v>-86965</v>
      </c>
      <c r="I27" s="21">
        <f t="shared" si="32"/>
        <v>-94739</v>
      </c>
      <c r="J27" s="21">
        <f t="shared" si="32"/>
        <v>-97581</v>
      </c>
      <c r="K27" s="21">
        <f t="shared" si="32"/>
        <v>-369011</v>
      </c>
      <c r="L27" s="21">
        <f t="shared" si="32"/>
        <v>-101559</v>
      </c>
      <c r="M27" s="21">
        <f t="shared" si="32"/>
        <v>-104811</v>
      </c>
      <c r="N27" s="21">
        <f t="shared" si="32"/>
        <v>-108862</v>
      </c>
      <c r="O27" s="21">
        <f t="shared" si="32"/>
        <v>-112161</v>
      </c>
      <c r="P27" s="21">
        <f t="shared" si="32"/>
        <v>-427393</v>
      </c>
      <c r="Q27" s="21">
        <f t="shared" si="32"/>
        <v>-114899</v>
      </c>
      <c r="R27" s="21">
        <f t="shared" si="32"/>
        <v>-113050</v>
      </c>
      <c r="S27" s="21">
        <f t="shared" si="32"/>
        <v>-127762</v>
      </c>
      <c r="T27" s="21">
        <f t="shared" ref="T27:V27" si="33">T18+T21+T24</f>
        <v>-131615</v>
      </c>
      <c r="U27" s="21">
        <f t="shared" si="33"/>
        <v>-487326</v>
      </c>
      <c r="V27" s="21">
        <f t="shared" si="33"/>
        <v>-130255</v>
      </c>
      <c r="W27" s="21">
        <f t="shared" ref="W27:X27" si="34">W18+W21+W24</f>
        <v>-138668</v>
      </c>
      <c r="X27" s="21">
        <f t="shared" si="34"/>
        <v>-152279</v>
      </c>
      <c r="Y27" s="106"/>
    </row>
    <row r="28" spans="1:42" ht="6" customHeight="1" x14ac:dyDescent="0.3">
      <c r="A28" s="36"/>
      <c r="Y28" s="106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s="9" customFormat="1" ht="13" x14ac:dyDescent="0.3">
      <c r="A29" s="116" t="s">
        <v>125</v>
      </c>
      <c r="B29" s="125">
        <f t="shared" ref="B29:S29" si="35">B14+B27</f>
        <v>43975</v>
      </c>
      <c r="C29" s="125">
        <f t="shared" si="35"/>
        <v>47081</v>
      </c>
      <c r="D29" s="125">
        <f t="shared" si="35"/>
        <v>50111</v>
      </c>
      <c r="E29" s="125">
        <f t="shared" si="35"/>
        <v>50995</v>
      </c>
      <c r="F29" s="125">
        <f t="shared" si="35"/>
        <v>192162</v>
      </c>
      <c r="G29" s="125">
        <f t="shared" si="35"/>
        <v>59448</v>
      </c>
      <c r="H29" s="125">
        <f t="shared" si="35"/>
        <v>64811</v>
      </c>
      <c r="I29" s="125">
        <f t="shared" si="35"/>
        <v>60230</v>
      </c>
      <c r="J29" s="125">
        <f t="shared" si="35"/>
        <v>54266</v>
      </c>
      <c r="K29" s="125">
        <f t="shared" si="35"/>
        <v>238755</v>
      </c>
      <c r="L29" s="125">
        <f t="shared" si="35"/>
        <v>61524</v>
      </c>
      <c r="M29" s="125">
        <f t="shared" si="35"/>
        <v>61449</v>
      </c>
      <c r="N29" s="125">
        <f t="shared" si="35"/>
        <v>69405</v>
      </c>
      <c r="O29" s="125">
        <f t="shared" si="35"/>
        <v>71242</v>
      </c>
      <c r="P29" s="125">
        <f t="shared" si="35"/>
        <v>263620</v>
      </c>
      <c r="Q29" s="125">
        <f t="shared" si="35"/>
        <v>78415</v>
      </c>
      <c r="R29" s="125">
        <f t="shared" si="35"/>
        <v>81138</v>
      </c>
      <c r="S29" s="125">
        <f t="shared" si="35"/>
        <v>76174</v>
      </c>
      <c r="T29" s="125">
        <f t="shared" ref="T29:V29" si="36">T14+T27</f>
        <v>78023</v>
      </c>
      <c r="U29" s="125">
        <f t="shared" si="36"/>
        <v>313750</v>
      </c>
      <c r="V29" s="125">
        <f t="shared" si="36"/>
        <v>91826</v>
      </c>
      <c r="W29" s="125">
        <f t="shared" ref="W29:X29" si="37">W14+W27</f>
        <v>87295</v>
      </c>
      <c r="X29" s="125">
        <f t="shared" si="37"/>
        <v>88856</v>
      </c>
      <c r="Y29" s="106"/>
    </row>
    <row r="30" spans="1:42" s="9" customFormat="1" ht="13" x14ac:dyDescent="0.3">
      <c r="A30" s="36" t="s">
        <v>182</v>
      </c>
      <c r="B30" s="25">
        <v>0.21956292639636144</v>
      </c>
      <c r="C30" s="25">
        <v>7.0631040363843045E-2</v>
      </c>
      <c r="D30" s="25">
        <v>6.4357171682844383E-2</v>
      </c>
      <c r="E30" s="25">
        <v>1.7640837341102777E-2</v>
      </c>
      <c r="F30" s="26" t="s">
        <v>41</v>
      </c>
      <c r="G30" s="25">
        <f>G29/E29-1</f>
        <v>0.16576134915187768</v>
      </c>
      <c r="H30" s="25">
        <f>H29/G29-1</f>
        <v>9.0213295653344128E-2</v>
      </c>
      <c r="I30" s="25">
        <f>I29/H29-1</f>
        <v>-7.0682445881100398E-2</v>
      </c>
      <c r="J30" s="25">
        <f>J29/I29-1</f>
        <v>-9.9020421716752405E-2</v>
      </c>
      <c r="K30" s="26" t="s">
        <v>41</v>
      </c>
      <c r="L30" s="25">
        <f>L29/J29-1</f>
        <v>0.13374857184977706</v>
      </c>
      <c r="M30" s="25">
        <f>M29/L29-1</f>
        <v>-1.2190364735712444E-3</v>
      </c>
      <c r="N30" s="25">
        <f>N29/M29-1</f>
        <v>0.12947322169604059</v>
      </c>
      <c r="O30" s="25">
        <f>O29/N29-1</f>
        <v>2.6467833729558299E-2</v>
      </c>
      <c r="P30" s="26" t="s">
        <v>41</v>
      </c>
      <c r="Q30" s="26">
        <f>Q29/O29-1</f>
        <v>0.10068498919176894</v>
      </c>
      <c r="R30" s="26">
        <f>R29/Q29-1</f>
        <v>3.4725498947905331E-2</v>
      </c>
      <c r="S30" s="26">
        <f>S29/R29-1</f>
        <v>-6.1179718504276615E-2</v>
      </c>
      <c r="T30" s="25">
        <f>T29/S29-1</f>
        <v>2.4273374117152802E-2</v>
      </c>
      <c r="U30" s="26" t="s">
        <v>41</v>
      </c>
      <c r="V30" s="26">
        <f>V29/T29-1</f>
        <v>0.17690937287722841</v>
      </c>
      <c r="W30" s="26">
        <f>W29/V29-1</f>
        <v>-4.9343323241783366E-2</v>
      </c>
      <c r="X30" s="26">
        <f>X29/W29-1</f>
        <v>1.7881894724783853E-2</v>
      </c>
      <c r="Y30" s="106"/>
    </row>
    <row r="31" spans="1:42" s="9" customFormat="1" ht="13" x14ac:dyDescent="0.3">
      <c r="A31" s="36" t="s">
        <v>183</v>
      </c>
      <c r="B31" s="25">
        <v>5.823607267476838E-2</v>
      </c>
      <c r="C31" s="25">
        <v>0.31401060563773364</v>
      </c>
      <c r="D31" s="25">
        <v>0.18080493896979122</v>
      </c>
      <c r="E31" s="25">
        <v>0.41424926507293813</v>
      </c>
      <c r="F31" s="25">
        <v>0.23274805781333185</v>
      </c>
      <c r="G31" s="25">
        <f t="shared" ref="G31:O31" si="38">G29/B29-1</f>
        <v>0.35185901080159177</v>
      </c>
      <c r="H31" s="25">
        <f t="shared" si="38"/>
        <v>0.37658503430258494</v>
      </c>
      <c r="I31" s="25">
        <f t="shared" si="38"/>
        <v>0.20193171160024748</v>
      </c>
      <c r="J31" s="25">
        <f t="shared" si="38"/>
        <v>6.4143543484655341E-2</v>
      </c>
      <c r="K31" s="25">
        <f>K29/F29-1</f>
        <v>0.24246729322134453</v>
      </c>
      <c r="L31" s="25">
        <f t="shared" si="38"/>
        <v>3.4921275736778279E-2</v>
      </c>
      <c r="M31" s="25">
        <f t="shared" si="38"/>
        <v>-5.1873910293005809E-2</v>
      </c>
      <c r="N31" s="25">
        <f t="shared" si="38"/>
        <v>0.15233272455586921</v>
      </c>
      <c r="O31" s="25">
        <f t="shared" si="38"/>
        <v>0.3128293959385251</v>
      </c>
      <c r="P31" s="25">
        <f>P29/K29-1</f>
        <v>0.10414441582375233</v>
      </c>
      <c r="Q31" s="25">
        <f>Q29/L29-1</f>
        <v>0.27454326766790205</v>
      </c>
      <c r="R31" s="25">
        <f>R29/M29-1</f>
        <v>0.32041204901625742</v>
      </c>
      <c r="S31" s="25">
        <f>S29/N29-1</f>
        <v>9.7528996469995022E-2</v>
      </c>
      <c r="T31" s="25">
        <f t="shared" ref="T31" si="39">T29/O29-1</f>
        <v>9.5182616995592495E-2</v>
      </c>
      <c r="U31" s="25">
        <f>U29/P29-1</f>
        <v>0.19016007890144904</v>
      </c>
      <c r="V31" s="25">
        <f>V29/Q29-1</f>
        <v>0.17102595166741064</v>
      </c>
      <c r="W31" s="25">
        <f>W29/R29-1</f>
        <v>7.5883063422810482E-2</v>
      </c>
      <c r="X31" s="25">
        <f>X29/S29-1</f>
        <v>0.16648725286843269</v>
      </c>
      <c r="Y31" s="106"/>
    </row>
    <row r="32" spans="1:42" ht="13" x14ac:dyDescent="0.3">
      <c r="A32" s="36" t="s">
        <v>186</v>
      </c>
      <c r="B32" s="25">
        <f t="shared" ref="B32:S32" si="40">IF(B29/B8&lt;0, "NM",B29/B8)</f>
        <v>0.13357816334961484</v>
      </c>
      <c r="C32" s="25">
        <f t="shared" si="40"/>
        <v>0.13576540881591317</v>
      </c>
      <c r="D32" s="25">
        <f t="shared" si="40"/>
        <v>0.13867679901259441</v>
      </c>
      <c r="E32" s="25">
        <f t="shared" si="40"/>
        <v>0.13609445347381793</v>
      </c>
      <c r="F32" s="25">
        <f t="shared" si="40"/>
        <v>0.13608782729150082</v>
      </c>
      <c r="G32" s="25">
        <f t="shared" si="40"/>
        <v>0.14838147677608246</v>
      </c>
      <c r="H32" s="25">
        <f t="shared" si="40"/>
        <v>0.16002874102460271</v>
      </c>
      <c r="I32" s="25">
        <f t="shared" si="40"/>
        <v>0.14655535305410844</v>
      </c>
      <c r="J32" s="25">
        <f t="shared" si="40"/>
        <v>0.13105893377256325</v>
      </c>
      <c r="K32" s="25">
        <f t="shared" si="40"/>
        <v>0.14641545673306891</v>
      </c>
      <c r="L32" s="25">
        <f t="shared" si="40"/>
        <v>0.140946193302742</v>
      </c>
      <c r="M32" s="25">
        <f t="shared" si="40"/>
        <v>0.13705098067204025</v>
      </c>
      <c r="N32" s="25">
        <f t="shared" si="40"/>
        <v>0.1470217529915924</v>
      </c>
      <c r="O32" s="25">
        <f t="shared" si="40"/>
        <v>0.14798120583433383</v>
      </c>
      <c r="P32" s="25">
        <f t="shared" si="40"/>
        <v>0.14339861573174525</v>
      </c>
      <c r="Q32" s="25">
        <f t="shared" si="40"/>
        <v>0.15651103051980064</v>
      </c>
      <c r="R32" s="25">
        <f t="shared" si="40"/>
        <v>0.15771488551102125</v>
      </c>
      <c r="S32" s="25">
        <f t="shared" si="40"/>
        <v>0.14383715550855858</v>
      </c>
      <c r="T32" s="25">
        <f t="shared" ref="T32:U32" si="41">IF(T29/T8&lt;0, "NM",T29/T8)</f>
        <v>0.14379071717516104</v>
      </c>
      <c r="U32" s="25">
        <f t="shared" si="41"/>
        <v>0.15028651435397875</v>
      </c>
      <c r="V32" s="25">
        <f>IFERROR(IF(V29/V8&lt;0, "NM",V29/V8),0)</f>
        <v>0.16099910406048207</v>
      </c>
      <c r="W32" s="25">
        <f>IFERROR(IF(W29/W8&lt;0, "NM",W29/W8),0)</f>
        <v>0.14677274813665275</v>
      </c>
      <c r="X32" s="25">
        <f>IFERROR(IF(X29/X8&lt;0, "NM",X29/X8),0)</f>
        <v>0.14016048356439453</v>
      </c>
      <c r="Y32" s="106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ht="13" x14ac:dyDescent="0.3">
      <c r="A33" s="202"/>
      <c r="Y33" s="106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ht="13" x14ac:dyDescent="0.3">
      <c r="A34" s="201" t="s">
        <v>212</v>
      </c>
      <c r="B34" s="22">
        <v>1756</v>
      </c>
      <c r="C34" s="22">
        <v>1423</v>
      </c>
      <c r="D34" s="22">
        <v>1504</v>
      </c>
      <c r="E34" s="22">
        <f>+F34-SUM(B34:D34)</f>
        <v>1516</v>
      </c>
      <c r="F34" s="22">
        <v>6199</v>
      </c>
      <c r="G34" s="22">
        <v>105</v>
      </c>
      <c r="H34" s="22">
        <v>324</v>
      </c>
      <c r="I34" s="22">
        <v>409</v>
      </c>
      <c r="J34" s="22">
        <f>+K34-SUM(G34:I34)</f>
        <v>694</v>
      </c>
      <c r="K34" s="22">
        <v>1532</v>
      </c>
      <c r="L34" s="22">
        <v>359</v>
      </c>
      <c r="M34" s="22">
        <v>36</v>
      </c>
      <c r="N34" s="22">
        <v>278</v>
      </c>
      <c r="O34" s="22">
        <f>P34-SUM(L34:N34)</f>
        <v>218</v>
      </c>
      <c r="P34" s="22">
        <v>891</v>
      </c>
      <c r="Q34" s="22">
        <v>1192</v>
      </c>
      <c r="R34" s="22">
        <v>2211</v>
      </c>
      <c r="S34" s="22">
        <v>-1013</v>
      </c>
      <c r="T34" s="22">
        <f>U34-SUM(Q34:S34)</f>
        <v>469</v>
      </c>
      <c r="U34" s="22">
        <v>2859</v>
      </c>
      <c r="V34" s="22">
        <v>1135</v>
      </c>
      <c r="W34" s="22">
        <v>1609</v>
      </c>
      <c r="X34" s="22">
        <v>1502</v>
      </c>
      <c r="Y34" s="106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3" x14ac:dyDescent="0.3">
      <c r="A35" s="201" t="s">
        <v>46</v>
      </c>
      <c r="B35" s="22">
        <v>1535</v>
      </c>
      <c r="C35" s="22">
        <v>-1676</v>
      </c>
      <c r="D35" s="22">
        <v>-181</v>
      </c>
      <c r="E35" s="22">
        <f>+F35-SUM(B35:D35)</f>
        <v>-7940</v>
      </c>
      <c r="F35" s="22">
        <v>-8262</v>
      </c>
      <c r="G35" s="22">
        <v>-230</v>
      </c>
      <c r="H35" s="22">
        <v>-579</v>
      </c>
      <c r="I35" s="22">
        <v>-2627</v>
      </c>
      <c r="J35" s="22">
        <f>+K35-SUM(G35:I35)</f>
        <v>1090</v>
      </c>
      <c r="K35" s="22">
        <v>-2346</v>
      </c>
      <c r="L35" s="22">
        <v>661</v>
      </c>
      <c r="M35" s="22">
        <v>-1778</v>
      </c>
      <c r="N35" s="22">
        <v>-1152</v>
      </c>
      <c r="O35" s="22">
        <f>P35-SUM(L35:N35)</f>
        <v>-895</v>
      </c>
      <c r="P35" s="22">
        <v>-3164</v>
      </c>
      <c r="Q35" s="22">
        <v>559</v>
      </c>
      <c r="R35" s="22">
        <v>1389</v>
      </c>
      <c r="S35" s="22">
        <v>-464</v>
      </c>
      <c r="T35" s="22">
        <f>U35-SUM(Q35:S35)</f>
        <v>-3041</v>
      </c>
      <c r="U35" s="22">
        <v>-1557</v>
      </c>
      <c r="V35" s="22">
        <v>-1560</v>
      </c>
      <c r="W35" s="22">
        <v>-4938</v>
      </c>
      <c r="X35" s="22">
        <v>-3697</v>
      </c>
      <c r="Y35" s="106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12.5" hidden="1" customHeight="1" x14ac:dyDescent="0.3">
      <c r="A36" s="201"/>
      <c r="B36" s="22">
        <v>0</v>
      </c>
      <c r="C36" s="22">
        <v>0</v>
      </c>
      <c r="D36" s="22">
        <v>0</v>
      </c>
      <c r="E36" s="22">
        <f>+F36-SUM(B36:D36)</f>
        <v>0</v>
      </c>
      <c r="F36" s="22">
        <v>0</v>
      </c>
      <c r="G36" s="22">
        <v>0</v>
      </c>
      <c r="H36" s="22">
        <v>0</v>
      </c>
      <c r="I36" s="22">
        <v>0</v>
      </c>
      <c r="J36" s="22">
        <f>+K36-SUM(G36:I36)</f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4">
        <v>0</v>
      </c>
      <c r="W36" s="24">
        <v>0</v>
      </c>
      <c r="X36" s="24">
        <v>0</v>
      </c>
      <c r="Y36" s="106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</row>
    <row r="37" spans="1:42" ht="6" customHeight="1" x14ac:dyDescent="0.3">
      <c r="A37" s="201"/>
      <c r="Y37" s="106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</row>
    <row r="38" spans="1:42" ht="13" x14ac:dyDescent="0.3">
      <c r="A38" s="118" t="s">
        <v>126</v>
      </c>
      <c r="B38" s="125">
        <f>B29+B35+B34</f>
        <v>47266</v>
      </c>
      <c r="C38" s="125">
        <f t="shared" ref="C38:W38" si="42">C29+C35+C34</f>
        <v>46828</v>
      </c>
      <c r="D38" s="125">
        <f t="shared" si="42"/>
        <v>51434</v>
      </c>
      <c r="E38" s="125">
        <f t="shared" si="42"/>
        <v>44571</v>
      </c>
      <c r="F38" s="125">
        <f t="shared" si="42"/>
        <v>190099</v>
      </c>
      <c r="G38" s="125">
        <f t="shared" si="42"/>
        <v>59323</v>
      </c>
      <c r="H38" s="125">
        <f t="shared" si="42"/>
        <v>64556</v>
      </c>
      <c r="I38" s="125">
        <f t="shared" si="42"/>
        <v>58012</v>
      </c>
      <c r="J38" s="125">
        <f t="shared" si="42"/>
        <v>56050</v>
      </c>
      <c r="K38" s="125">
        <f t="shared" si="42"/>
        <v>237941</v>
      </c>
      <c r="L38" s="125">
        <f t="shared" si="42"/>
        <v>62544</v>
      </c>
      <c r="M38" s="125">
        <f t="shared" si="42"/>
        <v>59707</v>
      </c>
      <c r="N38" s="125">
        <f t="shared" si="42"/>
        <v>68531</v>
      </c>
      <c r="O38" s="125">
        <f t="shared" si="42"/>
        <v>70565</v>
      </c>
      <c r="P38" s="125">
        <f t="shared" si="42"/>
        <v>261347</v>
      </c>
      <c r="Q38" s="125">
        <f t="shared" si="42"/>
        <v>80166</v>
      </c>
      <c r="R38" s="125">
        <f t="shared" si="42"/>
        <v>84738</v>
      </c>
      <c r="S38" s="125">
        <f t="shared" si="42"/>
        <v>74697</v>
      </c>
      <c r="T38" s="125">
        <f t="shared" si="42"/>
        <v>75451</v>
      </c>
      <c r="U38" s="125">
        <f t="shared" si="42"/>
        <v>315052</v>
      </c>
      <c r="V38" s="125">
        <f t="shared" si="42"/>
        <v>91401</v>
      </c>
      <c r="W38" s="125">
        <f t="shared" si="42"/>
        <v>83966</v>
      </c>
      <c r="X38" s="125">
        <f t="shared" ref="X38" si="43">X29+X35+X34</f>
        <v>86661</v>
      </c>
      <c r="Y38" s="106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</row>
    <row r="39" spans="1:42" ht="6" customHeight="1" x14ac:dyDescent="0.3">
      <c r="A39" s="202"/>
      <c r="Y39" s="106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</row>
    <row r="40" spans="1:42" ht="13" x14ac:dyDescent="0.3">
      <c r="A40" s="201" t="s">
        <v>213</v>
      </c>
      <c r="B40" s="23">
        <v>-11202</v>
      </c>
      <c r="C40" s="23">
        <v>-11125</v>
      </c>
      <c r="D40" s="23">
        <v>-12447</v>
      </c>
      <c r="E40" s="23">
        <f>+F40-SUM(B40:D40)</f>
        <v>-12791</v>
      </c>
      <c r="F40" s="23">
        <v>-47565</v>
      </c>
      <c r="G40" s="23">
        <v>-8058</v>
      </c>
      <c r="H40" s="23">
        <v>-15554</v>
      </c>
      <c r="I40" s="23">
        <v>-14161</v>
      </c>
      <c r="J40" s="23">
        <f>+K40-SUM(G40:I40)</f>
        <v>-15763</v>
      </c>
      <c r="K40" s="23">
        <v>-53536</v>
      </c>
      <c r="L40" s="23">
        <v>-13753</v>
      </c>
      <c r="M40" s="23">
        <v>-13873</v>
      </c>
      <c r="N40" s="23">
        <v>-15460</v>
      </c>
      <c r="O40" s="22">
        <f t="shared" ref="O40:O41" si="44">P40-SUM(L40:N40)</f>
        <v>-19850</v>
      </c>
      <c r="P40" s="23">
        <v>-62936</v>
      </c>
      <c r="Q40" s="23">
        <v>-13496</v>
      </c>
      <c r="R40" s="23">
        <v>-18546</v>
      </c>
      <c r="S40" s="23">
        <v>-16456</v>
      </c>
      <c r="T40" s="22">
        <f t="shared" ref="T40:T41" si="45">U40-SUM(Q40:S40)</f>
        <v>-15230</v>
      </c>
      <c r="U40" s="23">
        <v>-63728</v>
      </c>
      <c r="V40" s="23">
        <v>-24318</v>
      </c>
      <c r="W40" s="23">
        <v>-19426</v>
      </c>
      <c r="X40" s="23">
        <v>-17939</v>
      </c>
      <c r="Y40" s="106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</row>
    <row r="41" spans="1:42" ht="13" x14ac:dyDescent="0.3">
      <c r="A41" s="201" t="s">
        <v>214</v>
      </c>
      <c r="B41" s="22">
        <v>114</v>
      </c>
      <c r="C41" s="22">
        <v>143</v>
      </c>
      <c r="D41" s="22">
        <v>108</v>
      </c>
      <c r="E41" s="22">
        <f>+F41-SUM(B41:D41)</f>
        <v>69</v>
      </c>
      <c r="F41" s="22">
        <v>434</v>
      </c>
      <c r="G41" s="22">
        <v>66</v>
      </c>
      <c r="H41" s="22">
        <v>66</v>
      </c>
      <c r="I41" s="22">
        <v>25</v>
      </c>
      <c r="J41" s="22">
        <f>+K41-SUM(G41:I41)</f>
        <v>-4</v>
      </c>
      <c r="K41" s="22">
        <v>153</v>
      </c>
      <c r="L41" s="22">
        <v>-28</v>
      </c>
      <c r="M41" s="22">
        <v>-9</v>
      </c>
      <c r="N41" s="22">
        <v>-34</v>
      </c>
      <c r="O41" s="22">
        <f t="shared" si="44"/>
        <v>-43</v>
      </c>
      <c r="P41" s="22">
        <v>-114</v>
      </c>
      <c r="Q41" s="22">
        <v>-109</v>
      </c>
      <c r="R41" s="22">
        <v>-141</v>
      </c>
      <c r="S41" s="22">
        <v>-80</v>
      </c>
      <c r="T41" s="22">
        <f t="shared" si="45"/>
        <v>25</v>
      </c>
      <c r="U41" s="22">
        <v>-305</v>
      </c>
      <c r="V41" s="35">
        <v>-2</v>
      </c>
      <c r="W41" s="35">
        <v>-29</v>
      </c>
      <c r="X41" s="35">
        <v>49</v>
      </c>
      <c r="Y41" s="106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</row>
    <row r="42" spans="1:42" ht="6" customHeight="1" x14ac:dyDescent="0.3">
      <c r="A42" s="202"/>
      <c r="Y42" s="106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</row>
    <row r="43" spans="1:42" ht="13" x14ac:dyDescent="0.3">
      <c r="A43" s="118" t="s">
        <v>25</v>
      </c>
      <c r="B43" s="117">
        <f t="shared" ref="B43:H43" si="46">B38+B40+B41</f>
        <v>36178</v>
      </c>
      <c r="C43" s="117">
        <f t="shared" si="46"/>
        <v>35846</v>
      </c>
      <c r="D43" s="117">
        <f t="shared" si="46"/>
        <v>39095</v>
      </c>
      <c r="E43" s="117">
        <f t="shared" si="46"/>
        <v>31849</v>
      </c>
      <c r="F43" s="117">
        <f t="shared" si="46"/>
        <v>142968</v>
      </c>
      <c r="G43" s="117">
        <f t="shared" si="46"/>
        <v>51331</v>
      </c>
      <c r="H43" s="117">
        <f t="shared" si="46"/>
        <v>49068</v>
      </c>
      <c r="I43" s="117">
        <f t="shared" ref="I43:L43" si="47">I38+I40+I41</f>
        <v>43876</v>
      </c>
      <c r="J43" s="117">
        <f t="shared" si="47"/>
        <v>40283</v>
      </c>
      <c r="K43" s="117">
        <f t="shared" si="47"/>
        <v>184558</v>
      </c>
      <c r="L43" s="117">
        <f t="shared" si="47"/>
        <v>48763</v>
      </c>
      <c r="M43" s="117">
        <f t="shared" ref="M43:N43" si="48">M38+M40+M41</f>
        <v>45825</v>
      </c>
      <c r="N43" s="117">
        <f t="shared" si="48"/>
        <v>53037</v>
      </c>
      <c r="O43" s="117">
        <f t="shared" ref="O43:P43" si="49">O38+O40+O41</f>
        <v>50672</v>
      </c>
      <c r="P43" s="117">
        <f t="shared" si="49"/>
        <v>198297</v>
      </c>
      <c r="Q43" s="117">
        <f t="shared" ref="Q43:V43" si="50">Q38+Q40+Q41</f>
        <v>66561</v>
      </c>
      <c r="R43" s="117">
        <f t="shared" si="50"/>
        <v>66051</v>
      </c>
      <c r="S43" s="117">
        <f t="shared" si="50"/>
        <v>58161</v>
      </c>
      <c r="T43" s="117">
        <f t="shared" si="50"/>
        <v>60246</v>
      </c>
      <c r="U43" s="117">
        <f t="shared" si="50"/>
        <v>251019</v>
      </c>
      <c r="V43" s="117">
        <f t="shared" si="50"/>
        <v>67081</v>
      </c>
      <c r="W43" s="117">
        <f t="shared" ref="W43:X43" si="51">W38+W40+W41</f>
        <v>64511</v>
      </c>
      <c r="X43" s="117">
        <f t="shared" si="51"/>
        <v>68771</v>
      </c>
      <c r="Y43" s="106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</row>
    <row r="44" spans="1:42" s="9" customFormat="1" ht="13" x14ac:dyDescent="0.3">
      <c r="A44" s="36" t="s">
        <v>64</v>
      </c>
      <c r="B44" s="26">
        <f t="shared" ref="B44:U44" si="52">B43/B8</f>
        <v>0.10989404874729654</v>
      </c>
      <c r="C44" s="26">
        <f t="shared" si="52"/>
        <v>0.10336753349366461</v>
      </c>
      <c r="D44" s="26">
        <f t="shared" si="52"/>
        <v>0.10819120467357224</v>
      </c>
      <c r="E44" s="26">
        <f t="shared" si="52"/>
        <v>8.4997985070842774E-2</v>
      </c>
      <c r="F44" s="26">
        <f t="shared" si="52"/>
        <v>0.10124896957885166</v>
      </c>
      <c r="G44" s="26">
        <f t="shared" si="52"/>
        <v>0.12812154461702813</v>
      </c>
      <c r="H44" s="26">
        <f t="shared" si="52"/>
        <v>0.12115675216545349</v>
      </c>
      <c r="I44" s="26">
        <f t="shared" si="52"/>
        <v>0.10676179097795221</v>
      </c>
      <c r="J44" s="26">
        <f t="shared" si="52"/>
        <v>9.728830260494907E-2</v>
      </c>
      <c r="K44" s="26">
        <f t="shared" si="52"/>
        <v>0.11317938415422392</v>
      </c>
      <c r="L44" s="26">
        <f t="shared" si="52"/>
        <v>0.1117118396726742</v>
      </c>
      <c r="M44" s="26">
        <f t="shared" si="52"/>
        <v>0.10220444904386149</v>
      </c>
      <c r="N44" s="26">
        <f t="shared" si="52"/>
        <v>0.11234914939003078</v>
      </c>
      <c r="O44" s="26">
        <f t="shared" si="52"/>
        <v>0.10525397465030971</v>
      </c>
      <c r="P44" s="26">
        <f t="shared" si="52"/>
        <v>0.10786554625505611</v>
      </c>
      <c r="Q44" s="26">
        <f t="shared" si="52"/>
        <v>0.13285124915422369</v>
      </c>
      <c r="R44" s="26">
        <f t="shared" si="52"/>
        <v>0.12838899039769855</v>
      </c>
      <c r="S44" s="26">
        <f t="shared" si="52"/>
        <v>0.10982372990171549</v>
      </c>
      <c r="T44" s="26">
        <f t="shared" si="52"/>
        <v>0.1110289984611557</v>
      </c>
      <c r="U44" s="26">
        <f t="shared" si="52"/>
        <v>0.12023831249919169</v>
      </c>
      <c r="V44" s="26">
        <f>IFERROR(V43/V8,0)</f>
        <v>0.11761353973255066</v>
      </c>
      <c r="W44" s="26">
        <f>IFERROR(W43/W8,0)</f>
        <v>0.10846505246627648</v>
      </c>
      <c r="X44" s="26">
        <f>IFERROR(X43/X8,0)</f>
        <v>0.10847862401196291</v>
      </c>
      <c r="Y44" s="106"/>
    </row>
    <row r="45" spans="1:42" s="9" customFormat="1" ht="13" x14ac:dyDescent="0.3">
      <c r="A45" s="36" t="s">
        <v>182</v>
      </c>
      <c r="B45" s="26">
        <v>0.27841973214601223</v>
      </c>
      <c r="C45" s="26">
        <v>-9.1768478080601623E-3</v>
      </c>
      <c r="D45" s="26">
        <v>9.0637728058918787E-2</v>
      </c>
      <c r="E45" s="26">
        <v>-0.18534339429594582</v>
      </c>
      <c r="F45" s="26" t="s">
        <v>41</v>
      </c>
      <c r="G45" s="26">
        <f>G43/E43-1</f>
        <v>0.61169895444126965</v>
      </c>
      <c r="H45" s="26">
        <f>H43/G43-1</f>
        <v>-4.4086419512575192E-2</v>
      </c>
      <c r="I45" s="26">
        <f>I43/H43-1</f>
        <v>-0.10581234205592238</v>
      </c>
      <c r="J45" s="26">
        <f>J43/I43-1</f>
        <v>-8.1889871455921193E-2</v>
      </c>
      <c r="K45" s="26" t="s">
        <v>41</v>
      </c>
      <c r="L45" s="26">
        <f>L43/J43-1</f>
        <v>0.2105106372415162</v>
      </c>
      <c r="M45" s="26">
        <f>M43/L43-1</f>
        <v>-6.0250599840042662E-2</v>
      </c>
      <c r="N45" s="26">
        <f>N43/M43-1</f>
        <v>0.15738134206219323</v>
      </c>
      <c r="O45" s="26">
        <f>O43/N43-1</f>
        <v>-4.4591511586251076E-2</v>
      </c>
      <c r="P45" s="26" t="s">
        <v>41</v>
      </c>
      <c r="Q45" s="26">
        <f>Q43/O43-1</f>
        <v>0.3135656772971267</v>
      </c>
      <c r="R45" s="26">
        <f>R43/Q43-1</f>
        <v>-7.6621444990309096E-3</v>
      </c>
      <c r="S45" s="26">
        <f>S43/R43-1</f>
        <v>-0.11945314983876099</v>
      </c>
      <c r="T45" s="26">
        <f>T43/S43-1</f>
        <v>3.584876463609632E-2</v>
      </c>
      <c r="U45" s="26" t="s">
        <v>41</v>
      </c>
      <c r="V45" s="26">
        <f>V43/T43-1</f>
        <v>0.11345151545330801</v>
      </c>
      <c r="W45" s="26">
        <f>W43/V43-1</f>
        <v>-3.8311891593744929E-2</v>
      </c>
      <c r="X45" s="26">
        <f>X43/W43-1</f>
        <v>6.6035249802359308E-2</v>
      </c>
      <c r="Y45" s="106"/>
    </row>
    <row r="46" spans="1:42" s="9" customFormat="1" ht="13.5" thickBot="1" x14ac:dyDescent="0.35">
      <c r="A46" s="58" t="s">
        <v>183</v>
      </c>
      <c r="B46" s="49">
        <v>0.13300554320253055</v>
      </c>
      <c r="C46" s="49">
        <v>0.27925484458085004</v>
      </c>
      <c r="D46" s="49">
        <v>0.47489342437846616</v>
      </c>
      <c r="E46" s="49">
        <v>0.12544612883847495</v>
      </c>
      <c r="F46" s="49">
        <v>0.2458216420641699</v>
      </c>
      <c r="G46" s="49">
        <f t="shared" ref="G46" si="53">G43/B43-1</f>
        <v>0.41884570733594995</v>
      </c>
      <c r="H46" s="49">
        <f>H43/C43-1</f>
        <v>0.36885566032472239</v>
      </c>
      <c r="I46" s="49">
        <f>I43/D43-1</f>
        <v>0.12229185317815583</v>
      </c>
      <c r="J46" s="49">
        <f t="shared" ref="J46" si="54">J43/E43-1</f>
        <v>0.26481208201199413</v>
      </c>
      <c r="K46" s="49">
        <f>K43/F43-1</f>
        <v>0.29090425829556255</v>
      </c>
      <c r="L46" s="49">
        <f t="shared" ref="L46:N46" si="55">L43/G43-1</f>
        <v>-5.0028248037248479E-2</v>
      </c>
      <c r="M46" s="49">
        <f t="shared" si="55"/>
        <v>-6.6091954022988508E-2</v>
      </c>
      <c r="N46" s="49">
        <f t="shared" si="55"/>
        <v>0.20879296198377251</v>
      </c>
      <c r="O46" s="49">
        <f t="shared" ref="O46" si="56">O43/J43-1</f>
        <v>0.25790035498845665</v>
      </c>
      <c r="P46" s="49">
        <f>P43/K43-1</f>
        <v>7.44427226129456E-2</v>
      </c>
      <c r="Q46" s="49">
        <f>Q43/L43-1</f>
        <v>0.36498984886081653</v>
      </c>
      <c r="R46" s="49">
        <f>R43/M43-1</f>
        <v>0.44137479541734859</v>
      </c>
      <c r="S46" s="49">
        <f>S43/N43-1</f>
        <v>9.6611799309915813E-2</v>
      </c>
      <c r="T46" s="49">
        <f t="shared" ref="T46" si="57">T43/O43-1</f>
        <v>0.18894063782759707</v>
      </c>
      <c r="U46" s="49">
        <f>U43/P43-1</f>
        <v>0.26587391639813007</v>
      </c>
      <c r="V46" s="49">
        <f>V43/Q43-1</f>
        <v>7.8123826264628882E-3</v>
      </c>
      <c r="W46" s="49">
        <f>W43/R43-1</f>
        <v>-2.3315316952052245E-2</v>
      </c>
      <c r="X46" s="49">
        <f>X43/S43-1</f>
        <v>0.1824246488196557</v>
      </c>
      <c r="Y46" s="106"/>
    </row>
    <row r="47" spans="1:42" s="9" customFormat="1" ht="13" x14ac:dyDescent="0.3">
      <c r="A47" s="201" t="s">
        <v>159</v>
      </c>
      <c r="Y47" s="106"/>
    </row>
    <row r="48" spans="1:42" s="9" customFormat="1" ht="13" x14ac:dyDescent="0.3">
      <c r="A48" s="203" t="s">
        <v>48</v>
      </c>
      <c r="B48" s="104">
        <f t="shared" ref="B48:H48" si="58">B43/B51</f>
        <v>0.21636265773578137</v>
      </c>
      <c r="C48" s="104">
        <f t="shared" si="58"/>
        <v>0.21462485854733351</v>
      </c>
      <c r="D48" s="104">
        <f t="shared" si="58"/>
        <v>0.23524420990558942</v>
      </c>
      <c r="E48" s="104">
        <f t="shared" si="58"/>
        <v>0.19162364776241531</v>
      </c>
      <c r="F48" s="104">
        <f t="shared" si="58"/>
        <v>0.85788349374744977</v>
      </c>
      <c r="G48" s="104">
        <f t="shared" si="58"/>
        <v>0.30700726085240254</v>
      </c>
      <c r="H48" s="104">
        <f t="shared" si="58"/>
        <v>0.29421323084118312</v>
      </c>
      <c r="I48" s="104">
        <f t="shared" ref="I48:L48" si="59">I43/I51</f>
        <v>0.26405873856523832</v>
      </c>
      <c r="J48" s="104">
        <f t="shared" si="59"/>
        <v>0.24376414489210549</v>
      </c>
      <c r="K48" s="104">
        <f t="shared" si="59"/>
        <v>1.1095159942527699</v>
      </c>
      <c r="L48" s="104">
        <f t="shared" si="59"/>
        <v>0.29538653517645774</v>
      </c>
      <c r="M48" s="104">
        <f t="shared" ref="M48:N48" si="60">M43/M51</f>
        <v>0.28149071833114242</v>
      </c>
      <c r="N48" s="104">
        <f t="shared" si="60"/>
        <v>0.3279293650646436</v>
      </c>
      <c r="O48" s="104">
        <f t="shared" ref="O48:P48" si="61">O43/O51</f>
        <v>0.31416313270341989</v>
      </c>
      <c r="P48" s="104">
        <f t="shared" si="61"/>
        <v>1.2186468697570658</v>
      </c>
      <c r="Q48" s="104">
        <f t="shared" ref="Q48:R48" si="62">Q43/Q51</f>
        <v>0.40963136192996491</v>
      </c>
      <c r="R48" s="104">
        <f t="shared" si="62"/>
        <v>0.40540739604112319</v>
      </c>
      <c r="S48" s="104">
        <f t="shared" ref="S48:U48" si="63">S43/S51</f>
        <v>0.36238286312431461</v>
      </c>
      <c r="T48" s="104">
        <f t="shared" si="63"/>
        <v>0.38069179925941843</v>
      </c>
      <c r="U48" s="104">
        <f t="shared" si="63"/>
        <v>1.5588531187122736</v>
      </c>
      <c r="V48" s="104">
        <f>IFERROR(V43/V51,0)</f>
        <v>0.42987138655166007</v>
      </c>
      <c r="W48" s="104">
        <f>IFERROR(W43/W51,0)</f>
        <v>0.42287321210849926</v>
      </c>
      <c r="X48" s="104">
        <f>IFERROR(X43/X51,0)</f>
        <v>0.4530816615607603</v>
      </c>
      <c r="Y48" s="106"/>
    </row>
    <row r="49" spans="1:42" ht="13" x14ac:dyDescent="0.3">
      <c r="A49" s="203" t="s">
        <v>47</v>
      </c>
      <c r="B49" s="104">
        <f t="shared" ref="B49:H49" si="64">B43/B52</f>
        <v>0.21347227303303162</v>
      </c>
      <c r="C49" s="104">
        <f t="shared" si="64"/>
        <v>0.21191465714471514</v>
      </c>
      <c r="D49" s="104">
        <f t="shared" si="64"/>
        <v>0.23148340033986819</v>
      </c>
      <c r="E49" s="104">
        <f t="shared" si="64"/>
        <v>0.18825845120790652</v>
      </c>
      <c r="F49" s="104">
        <f t="shared" si="64"/>
        <v>0.84511937766375633</v>
      </c>
      <c r="G49" s="104">
        <f t="shared" si="64"/>
        <v>0.30255751309996048</v>
      </c>
      <c r="H49" s="104">
        <f t="shared" si="64"/>
        <v>0.29130501893826954</v>
      </c>
      <c r="I49" s="104">
        <f t="shared" ref="I49:L49" si="65">I43/I52</f>
        <v>0.26165259291064358</v>
      </c>
      <c r="J49" s="104">
        <f t="shared" si="65"/>
        <v>0.24138757557780693</v>
      </c>
      <c r="K49" s="104">
        <f t="shared" si="65"/>
        <v>1.0975077455533686</v>
      </c>
      <c r="L49" s="104">
        <f t="shared" si="65"/>
        <v>0.29247212509071718</v>
      </c>
      <c r="M49" s="104">
        <f t="shared" ref="M49:N49" si="66">M43/M52</f>
        <v>0.2794854905404911</v>
      </c>
      <c r="N49" s="104">
        <f t="shared" si="66"/>
        <v>0.32500551511140524</v>
      </c>
      <c r="O49" s="104">
        <f t="shared" ref="O49:P49" si="67">O43/O52</f>
        <v>0.31003995423312958</v>
      </c>
      <c r="P49" s="104">
        <f t="shared" si="67"/>
        <v>1.2067586811260818</v>
      </c>
      <c r="Q49" s="104">
        <f t="shared" ref="Q49:R49" si="68">Q43/Q52</f>
        <v>0.40448598358015764</v>
      </c>
      <c r="R49" s="104">
        <f t="shared" si="68"/>
        <v>0.40227658913595588</v>
      </c>
      <c r="S49" s="104">
        <f t="shared" ref="S49:U49" si="69">S43/S52</f>
        <v>0.35965346228526907</v>
      </c>
      <c r="T49" s="104">
        <f t="shared" si="69"/>
        <v>0.37768471732888648</v>
      </c>
      <c r="U49" s="104">
        <f t="shared" si="69"/>
        <v>1.544903435457466</v>
      </c>
      <c r="V49" s="104">
        <f>IFERROR(V43/V52,0)</f>
        <v>0.42752893489012389</v>
      </c>
      <c r="W49" s="104">
        <f>IFERROR(W43/W52,0)</f>
        <v>0.42210400963149081</v>
      </c>
      <c r="X49" s="104">
        <f>IFERROR(X43/X52,0)</f>
        <v>0.45075047519171529</v>
      </c>
      <c r="Y49" s="106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</row>
    <row r="50" spans="1:42" ht="13" x14ac:dyDescent="0.3">
      <c r="A50" s="202" t="s">
        <v>158</v>
      </c>
      <c r="J50" s="53"/>
      <c r="K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106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</row>
    <row r="51" spans="1:42" ht="13" x14ac:dyDescent="0.3">
      <c r="A51" s="203" t="s">
        <v>48</v>
      </c>
      <c r="B51" s="23">
        <v>167210</v>
      </c>
      <c r="C51" s="23">
        <v>167017</v>
      </c>
      <c r="D51" s="23">
        <v>166189</v>
      </c>
      <c r="E51" s="23">
        <v>166206</v>
      </c>
      <c r="F51" s="23">
        <v>166652</v>
      </c>
      <c r="G51" s="23">
        <v>167198</v>
      </c>
      <c r="H51" s="23">
        <v>166777</v>
      </c>
      <c r="I51" s="23">
        <v>166160</v>
      </c>
      <c r="J51" s="23">
        <v>165254</v>
      </c>
      <c r="K51" s="23">
        <v>166341</v>
      </c>
      <c r="L51" s="23">
        <v>165082</v>
      </c>
      <c r="M51" s="23">
        <v>162794</v>
      </c>
      <c r="N51" s="23">
        <v>161733</v>
      </c>
      <c r="O51" s="23">
        <v>161292</v>
      </c>
      <c r="P51" s="23">
        <v>162719</v>
      </c>
      <c r="Q51" s="23">
        <v>162490</v>
      </c>
      <c r="R51" s="23">
        <v>162925</v>
      </c>
      <c r="S51" s="23">
        <v>160496</v>
      </c>
      <c r="T51" s="23">
        <v>158254</v>
      </c>
      <c r="U51" s="23">
        <v>161028</v>
      </c>
      <c r="V51" s="23">
        <v>156049</v>
      </c>
      <c r="W51" s="23">
        <v>152554</v>
      </c>
      <c r="X51" s="23">
        <v>151785</v>
      </c>
      <c r="Y51" s="106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</row>
    <row r="52" spans="1:42" ht="13.5" thickBot="1" x14ac:dyDescent="0.35">
      <c r="A52" s="204" t="s">
        <v>47</v>
      </c>
      <c r="B52" s="105">
        <v>169474</v>
      </c>
      <c r="C52" s="105">
        <v>169153</v>
      </c>
      <c r="D52" s="105">
        <v>168889</v>
      </c>
      <c r="E52" s="105">
        <v>169177</v>
      </c>
      <c r="F52" s="105">
        <v>169169</v>
      </c>
      <c r="G52" s="105">
        <v>169657</v>
      </c>
      <c r="H52" s="105">
        <v>168442</v>
      </c>
      <c r="I52" s="105">
        <v>167688</v>
      </c>
      <c r="J52" s="105">
        <v>166881</v>
      </c>
      <c r="K52" s="105">
        <v>168161</v>
      </c>
      <c r="L52" s="105">
        <v>166727</v>
      </c>
      <c r="M52" s="105">
        <v>163962</v>
      </c>
      <c r="N52" s="105">
        <v>163188</v>
      </c>
      <c r="O52" s="105">
        <v>163437</v>
      </c>
      <c r="P52" s="105">
        <v>164322</v>
      </c>
      <c r="Q52" s="105">
        <v>164557</v>
      </c>
      <c r="R52" s="105">
        <v>164193</v>
      </c>
      <c r="S52" s="105">
        <v>161714</v>
      </c>
      <c r="T52" s="105">
        <v>159514</v>
      </c>
      <c r="U52" s="105">
        <v>162482</v>
      </c>
      <c r="V52" s="105">
        <v>156904</v>
      </c>
      <c r="W52" s="105">
        <v>152832</v>
      </c>
      <c r="X52" s="105">
        <v>152570</v>
      </c>
      <c r="Y52" s="106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</row>
    <row r="53" spans="1:42" ht="13" x14ac:dyDescent="0.3">
      <c r="A53" s="61"/>
    </row>
    <row r="54" spans="1:42" ht="11.25" customHeight="1" x14ac:dyDescent="0.3">
      <c r="A54" s="64" t="s">
        <v>164</v>
      </c>
    </row>
    <row r="55" spans="1:42" ht="13" x14ac:dyDescent="0.3">
      <c r="A55" s="64"/>
    </row>
    <row r="56" spans="1:42" ht="13" x14ac:dyDescent="0.3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</row>
    <row r="57" spans="1:42" ht="13" x14ac:dyDescent="0.3">
      <c r="A57" s="97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</row>
    <row r="58" spans="1:42" ht="13" x14ac:dyDescent="0.3">
      <c r="A58" s="97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</row>
    <row r="59" spans="1:42" ht="13" x14ac:dyDescent="0.3">
      <c r="A59" s="97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</row>
    <row r="60" spans="1:42" ht="13" x14ac:dyDescent="0.3">
      <c r="A60" s="97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</row>
    <row r="61" spans="1:42" ht="13" x14ac:dyDescent="0.3">
      <c r="A61" s="97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</row>
    <row r="62" spans="1:42" ht="13" x14ac:dyDescent="0.3">
      <c r="A62" s="97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</row>
    <row r="63" spans="1:42" ht="13" x14ac:dyDescent="0.3">
      <c r="A63" s="97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</row>
  </sheetData>
  <hyperlinks>
    <hyperlink ref="U1" location="Contents!B4" display="Back" xr:uid="{440D0612-43AF-4E3F-9FBF-7854A0882987}"/>
  </hyperlinks>
  <pageMargins left="0.25" right="0" top="0.25" bottom="0" header="0.3" footer="0.3"/>
  <pageSetup paperSize="9" scale="37" orientation="landscape" r:id="rId1"/>
  <colBreaks count="1" manualBreakCount="1">
    <brk id="8" max="54" man="1"/>
  </colBreaks>
  <ignoredErrors>
    <ignoredError sqref="K22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39F97-FC1A-4F29-BC56-7BB705B41226}">
  <sheetPr>
    <tabColor rgb="FF92D050"/>
    <pageSetUpPr fitToPage="1"/>
  </sheetPr>
  <dimension ref="A1:FY59"/>
  <sheetViews>
    <sheetView showGridLines="0" view="pageBreakPreview" zoomScale="80" zoomScaleNormal="70" zoomScaleSheetLayoutView="80" workbookViewId="0">
      <pane xSplit="2" ySplit="4" topLeftCell="F5" activePane="bottomRight" state="frozen"/>
      <selection activeCell="B1" sqref="B1"/>
      <selection pane="topRight" activeCell="B1" sqref="B1"/>
      <selection pane="bottomLeft" activeCell="B1" sqref="B1"/>
      <selection pane="bottomRight" activeCell="T63" sqref="T63"/>
    </sheetView>
  </sheetViews>
  <sheetFormatPr defaultColWidth="9.1796875" defaultRowHeight="12.5" outlineLevelCol="1" x14ac:dyDescent="0.25"/>
  <cols>
    <col min="1" max="1" width="45.1796875" style="18" customWidth="1"/>
    <col min="2" max="2" width="2.1796875" style="2" customWidth="1"/>
    <col min="3" max="3" width="14.453125" style="2" hidden="1" customWidth="1" outlineLevel="1"/>
    <col min="4" max="5" width="11.54296875" style="2" hidden="1" customWidth="1" outlineLevel="1"/>
    <col min="6" max="6" width="13.453125" style="2" bestFit="1" customWidth="1" collapsed="1"/>
    <col min="7" max="9" width="11.54296875" style="2" hidden="1" customWidth="1" outlineLevel="1"/>
    <col min="10" max="10" width="13.453125" style="2" bestFit="1" customWidth="1" collapsed="1"/>
    <col min="11" max="13" width="11.54296875" style="2" hidden="1" customWidth="1" outlineLevel="1"/>
    <col min="14" max="14" width="13.453125" style="2" bestFit="1" customWidth="1" collapsed="1"/>
    <col min="15" max="16" width="11.54296875" style="2" hidden="1" customWidth="1" outlineLevel="1"/>
    <col min="17" max="17" width="12.26953125" style="2" hidden="1" customWidth="1" outlineLevel="1"/>
    <col min="18" max="18" width="12.26953125" style="2" customWidth="1" collapsed="1"/>
    <col min="19" max="21" width="12.26953125" style="2" customWidth="1"/>
    <col min="22" max="16384" width="9.1796875" style="2"/>
  </cols>
  <sheetData>
    <row r="1" spans="1:21" ht="13" x14ac:dyDescent="0.3">
      <c r="A1" s="7" t="s">
        <v>223</v>
      </c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R1" s="205" t="s">
        <v>162</v>
      </c>
      <c r="S1" s="206"/>
      <c r="T1" s="206"/>
      <c r="U1" s="206"/>
    </row>
    <row r="2" spans="1:21" ht="45" customHeight="1" x14ac:dyDescent="0.25">
      <c r="Q2" s="186"/>
      <c r="R2" s="186"/>
      <c r="S2" s="186"/>
      <c r="T2" s="186"/>
      <c r="U2" s="186"/>
    </row>
    <row r="3" spans="1:21" ht="13" x14ac:dyDescent="0.3">
      <c r="A3" s="13" t="s">
        <v>10</v>
      </c>
      <c r="C3" s="3">
        <v>2022</v>
      </c>
      <c r="D3" s="3">
        <v>2022</v>
      </c>
      <c r="E3" s="3">
        <v>2022</v>
      </c>
      <c r="F3" s="3">
        <v>2022</v>
      </c>
      <c r="G3" s="3">
        <v>2023</v>
      </c>
      <c r="H3" s="3">
        <v>2023</v>
      </c>
      <c r="I3" s="3">
        <v>2023</v>
      </c>
      <c r="J3" s="3">
        <v>2023</v>
      </c>
      <c r="K3" s="3">
        <v>2024</v>
      </c>
      <c r="L3" s="3">
        <v>2024</v>
      </c>
      <c r="M3" s="3">
        <v>2024</v>
      </c>
      <c r="N3" s="3">
        <v>2024</v>
      </c>
      <c r="O3" s="3">
        <v>2025</v>
      </c>
      <c r="P3" s="3">
        <v>2025</v>
      </c>
      <c r="Q3" s="3">
        <v>2025</v>
      </c>
      <c r="R3" s="3">
        <v>2025</v>
      </c>
      <c r="S3" s="3">
        <v>2026</v>
      </c>
      <c r="T3" s="3">
        <v>2026</v>
      </c>
      <c r="U3" s="3">
        <v>2026</v>
      </c>
    </row>
    <row r="4" spans="1:21" s="1" customFormat="1" ht="13" x14ac:dyDescent="0.3">
      <c r="A4" s="20" t="s">
        <v>39</v>
      </c>
      <c r="C4" s="48" t="s">
        <v>4</v>
      </c>
      <c r="D4" s="48" t="s">
        <v>5</v>
      </c>
      <c r="E4" s="48" t="s">
        <v>6</v>
      </c>
      <c r="F4" s="48" t="s">
        <v>7</v>
      </c>
      <c r="G4" s="48" t="s">
        <v>4</v>
      </c>
      <c r="H4" s="48" t="s">
        <v>5</v>
      </c>
      <c r="I4" s="48" t="s">
        <v>6</v>
      </c>
      <c r="J4" s="48" t="s">
        <v>7</v>
      </c>
      <c r="K4" s="48" t="s">
        <v>4</v>
      </c>
      <c r="L4" s="48" t="s">
        <v>5</v>
      </c>
      <c r="M4" s="48" t="s">
        <v>6</v>
      </c>
      <c r="N4" s="48" t="s">
        <v>7</v>
      </c>
      <c r="O4" s="48" t="s">
        <v>4</v>
      </c>
      <c r="P4" s="48" t="s">
        <v>5</v>
      </c>
      <c r="Q4" s="48" t="s">
        <v>6</v>
      </c>
      <c r="R4" s="48" t="s">
        <v>7</v>
      </c>
      <c r="S4" s="48" t="s">
        <v>4</v>
      </c>
      <c r="T4" s="48" t="s">
        <v>5</v>
      </c>
      <c r="U4" s="48" t="s">
        <v>6</v>
      </c>
    </row>
    <row r="5" spans="1:21" s="3" customFormat="1" ht="13" x14ac:dyDescent="0.3">
      <c r="A5" s="13"/>
    </row>
    <row r="6" spans="1:21" ht="13" x14ac:dyDescent="0.3">
      <c r="A6" s="166" t="s">
        <v>11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</row>
    <row r="7" spans="1:21" ht="13" x14ac:dyDescent="0.3">
      <c r="A7" s="40" t="s">
        <v>12</v>
      </c>
      <c r="B7" s="108"/>
    </row>
    <row r="8" spans="1:21" x14ac:dyDescent="0.25">
      <c r="A8" s="41" t="s">
        <v>50</v>
      </c>
      <c r="B8" s="109"/>
      <c r="C8" s="178">
        <v>106540</v>
      </c>
      <c r="D8" s="178">
        <v>106304</v>
      </c>
      <c r="E8" s="178">
        <v>89262</v>
      </c>
      <c r="F8" s="178">
        <v>118669</v>
      </c>
      <c r="G8" s="178">
        <v>87298</v>
      </c>
      <c r="H8" s="178">
        <v>93960</v>
      </c>
      <c r="I8" s="178">
        <v>122655</v>
      </c>
      <c r="J8" s="178">
        <v>136953</v>
      </c>
      <c r="K8" s="178">
        <v>108565</v>
      </c>
      <c r="L8" s="178">
        <v>115303</v>
      </c>
      <c r="M8" s="178">
        <v>150102</v>
      </c>
      <c r="N8" s="178">
        <v>153355</v>
      </c>
      <c r="O8" s="178">
        <v>140442</v>
      </c>
      <c r="P8" s="178">
        <v>149134</v>
      </c>
      <c r="Q8" s="178">
        <v>160309</v>
      </c>
      <c r="R8" s="178">
        <v>146326</v>
      </c>
      <c r="S8" s="178">
        <v>145405</v>
      </c>
      <c r="T8" s="178">
        <v>126722</v>
      </c>
      <c r="U8" s="178">
        <v>154066</v>
      </c>
    </row>
    <row r="9" spans="1:21" x14ac:dyDescent="0.25">
      <c r="A9" s="41" t="s">
        <v>49</v>
      </c>
      <c r="B9" s="109"/>
      <c r="C9" s="69">
        <v>162694</v>
      </c>
      <c r="D9" s="69">
        <v>158941</v>
      </c>
      <c r="E9" s="69">
        <v>172889</v>
      </c>
      <c r="F9" s="69">
        <v>179027</v>
      </c>
      <c r="G9" s="69">
        <v>116479</v>
      </c>
      <c r="H9" s="69">
        <v>156098</v>
      </c>
      <c r="I9" s="69">
        <v>151581</v>
      </c>
      <c r="J9" s="69">
        <v>153881</v>
      </c>
      <c r="K9" s="69">
        <v>137585</v>
      </c>
      <c r="L9" s="69">
        <v>160833</v>
      </c>
      <c r="M9" s="69">
        <v>175648</v>
      </c>
      <c r="N9" s="69">
        <v>187223</v>
      </c>
      <c r="O9" s="69">
        <v>190978</v>
      </c>
      <c r="P9" s="69">
        <v>204160</v>
      </c>
      <c r="Q9" s="69">
        <v>229833</v>
      </c>
      <c r="R9" s="69">
        <v>182041</v>
      </c>
      <c r="S9" s="69">
        <v>108358</v>
      </c>
      <c r="T9" s="69">
        <v>157102</v>
      </c>
      <c r="U9" s="69">
        <v>178612</v>
      </c>
    </row>
    <row r="10" spans="1:21" x14ac:dyDescent="0.25">
      <c r="A10" s="41" t="s">
        <v>13</v>
      </c>
      <c r="B10" s="109"/>
      <c r="C10" s="69">
        <v>6274</v>
      </c>
      <c r="D10" s="69">
        <v>6840</v>
      </c>
      <c r="E10" s="69">
        <v>7013</v>
      </c>
      <c r="F10" s="69">
        <v>4897</v>
      </c>
      <c r="G10" s="69">
        <v>5598</v>
      </c>
      <c r="H10" s="69">
        <v>4628</v>
      </c>
      <c r="I10" s="69">
        <v>3257</v>
      </c>
      <c r="J10" s="69">
        <v>4062</v>
      </c>
      <c r="K10" s="69">
        <v>4291</v>
      </c>
      <c r="L10" s="69">
        <v>6351</v>
      </c>
      <c r="M10" s="69">
        <v>7342</v>
      </c>
      <c r="N10" s="69">
        <v>9972</v>
      </c>
      <c r="O10" s="69">
        <v>9826</v>
      </c>
      <c r="P10" s="69">
        <v>11503</v>
      </c>
      <c r="Q10" s="69">
        <v>11319</v>
      </c>
      <c r="R10" s="69">
        <v>12392</v>
      </c>
      <c r="S10" s="69">
        <v>12409</v>
      </c>
      <c r="T10" s="69">
        <v>12964</v>
      </c>
      <c r="U10" s="69">
        <v>13916</v>
      </c>
    </row>
    <row r="11" spans="1:21" x14ac:dyDescent="0.25">
      <c r="A11" s="41" t="s">
        <v>82</v>
      </c>
      <c r="B11" s="109"/>
      <c r="C11" s="69">
        <v>239279</v>
      </c>
      <c r="D11" s="69">
        <v>237453</v>
      </c>
      <c r="E11" s="69">
        <v>256911</v>
      </c>
      <c r="F11" s="69">
        <v>259222</v>
      </c>
      <c r="G11" s="69">
        <v>290512</v>
      </c>
      <c r="H11" s="69">
        <v>288305</v>
      </c>
      <c r="I11" s="69">
        <v>303378</v>
      </c>
      <c r="J11" s="69">
        <v>308108</v>
      </c>
      <c r="K11" s="69">
        <v>335523</v>
      </c>
      <c r="L11" s="69">
        <v>327613</v>
      </c>
      <c r="M11" s="69">
        <v>340904</v>
      </c>
      <c r="N11" s="69">
        <v>304322</v>
      </c>
      <c r="O11" s="69">
        <v>339856</v>
      </c>
      <c r="P11" s="69">
        <v>345470</v>
      </c>
      <c r="Q11" s="69">
        <v>351426</v>
      </c>
      <c r="R11" s="69">
        <v>343105</v>
      </c>
      <c r="S11" s="69">
        <v>388563</v>
      </c>
      <c r="T11" s="69">
        <v>434362</v>
      </c>
      <c r="U11" s="69">
        <v>457287</v>
      </c>
    </row>
    <row r="12" spans="1:21" x14ac:dyDescent="0.25">
      <c r="A12" s="41" t="s">
        <v>116</v>
      </c>
      <c r="B12" s="109"/>
      <c r="C12" s="69">
        <v>57831</v>
      </c>
      <c r="D12" s="69">
        <v>51476</v>
      </c>
      <c r="E12" s="69">
        <v>54509</v>
      </c>
      <c r="F12" s="69">
        <v>50979</v>
      </c>
      <c r="G12" s="69">
        <v>66340</v>
      </c>
      <c r="H12" s="69">
        <v>70186</v>
      </c>
      <c r="I12" s="69">
        <v>70697</v>
      </c>
      <c r="J12" s="69">
        <v>76669</v>
      </c>
      <c r="K12" s="69">
        <v>78753</v>
      </c>
      <c r="L12" s="69">
        <v>93612</v>
      </c>
      <c r="M12" s="69">
        <v>93693</v>
      </c>
      <c r="N12" s="69">
        <v>140317</v>
      </c>
      <c r="O12" s="69">
        <v>150203</v>
      </c>
      <c r="P12" s="69">
        <v>148049</v>
      </c>
      <c r="Q12" s="69">
        <v>139059</v>
      </c>
      <c r="R12" s="69">
        <v>146093</v>
      </c>
      <c r="S12" s="69">
        <v>142626</v>
      </c>
      <c r="T12" s="69">
        <v>144132</v>
      </c>
      <c r="U12" s="69">
        <v>155262</v>
      </c>
    </row>
    <row r="13" spans="1:21" ht="13" x14ac:dyDescent="0.3">
      <c r="A13" s="34" t="s">
        <v>51</v>
      </c>
      <c r="B13" s="110"/>
      <c r="C13" s="179">
        <f t="shared" ref="C13:G13" si="0">SUM(C8:C12)</f>
        <v>572618</v>
      </c>
      <c r="D13" s="179">
        <f t="shared" si="0"/>
        <v>561014</v>
      </c>
      <c r="E13" s="179">
        <f t="shared" si="0"/>
        <v>580584</v>
      </c>
      <c r="F13" s="180">
        <f t="shared" si="0"/>
        <v>612794</v>
      </c>
      <c r="G13" s="180">
        <f t="shared" si="0"/>
        <v>566227</v>
      </c>
      <c r="H13" s="180">
        <f t="shared" ref="H13:M13" si="1">SUM(H8:H12)</f>
        <v>613177</v>
      </c>
      <c r="I13" s="180">
        <f t="shared" si="1"/>
        <v>651568</v>
      </c>
      <c r="J13" s="180">
        <f t="shared" si="1"/>
        <v>679673</v>
      </c>
      <c r="K13" s="180">
        <f t="shared" si="1"/>
        <v>664717</v>
      </c>
      <c r="L13" s="180">
        <f t="shared" si="1"/>
        <v>703712</v>
      </c>
      <c r="M13" s="180">
        <f t="shared" si="1"/>
        <v>767689</v>
      </c>
      <c r="N13" s="180">
        <f t="shared" ref="N13:S13" si="2">SUM(N8:N12)</f>
        <v>795189</v>
      </c>
      <c r="O13" s="180">
        <f t="shared" si="2"/>
        <v>831305</v>
      </c>
      <c r="P13" s="180">
        <f t="shared" si="2"/>
        <v>858316</v>
      </c>
      <c r="Q13" s="180">
        <f t="shared" si="2"/>
        <v>891946</v>
      </c>
      <c r="R13" s="180">
        <f t="shared" si="2"/>
        <v>829957</v>
      </c>
      <c r="S13" s="180">
        <f t="shared" si="2"/>
        <v>797361</v>
      </c>
      <c r="T13" s="180">
        <f t="shared" ref="T13:U13" si="3">SUM(T8:T12)</f>
        <v>875282</v>
      </c>
      <c r="U13" s="180">
        <f t="shared" si="3"/>
        <v>959143</v>
      </c>
    </row>
    <row r="14" spans="1:21" x14ac:dyDescent="0.25">
      <c r="A14" s="14" t="s">
        <v>15</v>
      </c>
      <c r="B14" s="108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</row>
    <row r="15" spans="1:21" x14ac:dyDescent="0.25">
      <c r="A15" s="42" t="s">
        <v>83</v>
      </c>
      <c r="B15" s="109"/>
      <c r="C15" s="69">
        <v>85610</v>
      </c>
      <c r="D15" s="69">
        <v>82649</v>
      </c>
      <c r="E15" s="69">
        <v>79933</v>
      </c>
      <c r="F15" s="69">
        <v>82828</v>
      </c>
      <c r="G15" s="69">
        <v>86652</v>
      </c>
      <c r="H15" s="69">
        <v>93688</v>
      </c>
      <c r="I15" s="69">
        <v>96729</v>
      </c>
      <c r="J15" s="69">
        <v>100373</v>
      </c>
      <c r="K15" s="69">
        <v>101622</v>
      </c>
      <c r="L15" s="69">
        <v>103478</v>
      </c>
      <c r="M15" s="69">
        <v>107395</v>
      </c>
      <c r="N15" s="69">
        <v>101837</v>
      </c>
      <c r="O15" s="69">
        <v>107148</v>
      </c>
      <c r="P15" s="69">
        <v>114103</v>
      </c>
      <c r="Q15" s="69">
        <v>112677</v>
      </c>
      <c r="R15" s="69">
        <v>111821</v>
      </c>
      <c r="S15" s="69">
        <v>109388</v>
      </c>
      <c r="T15" s="69">
        <v>114587</v>
      </c>
      <c r="U15" s="69">
        <v>122884</v>
      </c>
    </row>
    <row r="16" spans="1:21" x14ac:dyDescent="0.25">
      <c r="A16" s="43" t="s">
        <v>144</v>
      </c>
      <c r="B16" s="109"/>
      <c r="C16" s="69">
        <v>75147</v>
      </c>
      <c r="D16" s="69">
        <v>67962</v>
      </c>
      <c r="E16" s="69">
        <v>61966</v>
      </c>
      <c r="F16" s="69">
        <v>55347</v>
      </c>
      <c r="G16" s="69">
        <v>52782</v>
      </c>
      <c r="H16" s="69">
        <v>58423</v>
      </c>
      <c r="I16" s="69">
        <v>56817</v>
      </c>
      <c r="J16" s="69">
        <v>64856</v>
      </c>
      <c r="K16" s="69">
        <v>66799</v>
      </c>
      <c r="L16" s="69">
        <v>72822</v>
      </c>
      <c r="M16" s="69">
        <v>71796</v>
      </c>
      <c r="N16" s="69">
        <v>68784</v>
      </c>
      <c r="O16" s="69">
        <v>71150</v>
      </c>
      <c r="P16" s="69">
        <v>73083</v>
      </c>
      <c r="Q16" s="69">
        <v>72346</v>
      </c>
      <c r="R16" s="69">
        <v>97411</v>
      </c>
      <c r="S16" s="69">
        <v>92980</v>
      </c>
      <c r="T16" s="69">
        <v>97495</v>
      </c>
      <c r="U16" s="69">
        <v>94517</v>
      </c>
    </row>
    <row r="17" spans="1:21" x14ac:dyDescent="0.25">
      <c r="A17" s="42" t="s">
        <v>13</v>
      </c>
      <c r="B17" s="109"/>
      <c r="C17" s="69">
        <v>2255</v>
      </c>
      <c r="D17" s="69">
        <v>2056</v>
      </c>
      <c r="E17" s="69">
        <v>1996</v>
      </c>
      <c r="F17" s="69">
        <v>2055</v>
      </c>
      <c r="G17" s="69">
        <v>2069</v>
      </c>
      <c r="H17" s="69">
        <v>2072</v>
      </c>
      <c r="I17" s="69">
        <v>2047</v>
      </c>
      <c r="J17" s="69">
        <v>4386</v>
      </c>
      <c r="K17" s="69">
        <v>4376</v>
      </c>
      <c r="L17" s="69">
        <v>5751.7104800000006</v>
      </c>
      <c r="M17" s="69">
        <v>5820</v>
      </c>
      <c r="N17" s="69">
        <v>8071</v>
      </c>
      <c r="O17" s="69">
        <v>8210</v>
      </c>
      <c r="P17" s="69">
        <v>9888</v>
      </c>
      <c r="Q17" s="69">
        <v>8205</v>
      </c>
      <c r="R17" s="69">
        <v>7251</v>
      </c>
      <c r="S17" s="69">
        <v>6964</v>
      </c>
      <c r="T17" s="69">
        <v>7086</v>
      </c>
      <c r="U17" s="69">
        <v>7092</v>
      </c>
    </row>
    <row r="18" spans="1:21" x14ac:dyDescent="0.25">
      <c r="A18" s="42" t="s">
        <v>100</v>
      </c>
      <c r="B18" s="109"/>
      <c r="C18" s="69">
        <v>22447</v>
      </c>
      <c r="D18" s="69">
        <v>40924</v>
      </c>
      <c r="E18" s="69">
        <v>54898</v>
      </c>
      <c r="F18" s="69">
        <v>55791</v>
      </c>
      <c r="G18" s="69">
        <v>62252</v>
      </c>
      <c r="H18" s="69">
        <v>68612</v>
      </c>
      <c r="I18" s="69">
        <v>79767</v>
      </c>
      <c r="J18" s="69">
        <v>82927</v>
      </c>
      <c r="K18" s="69">
        <v>91840</v>
      </c>
      <c r="L18" s="69">
        <v>100993</v>
      </c>
      <c r="M18" s="69">
        <v>106881</v>
      </c>
      <c r="N18" s="69">
        <v>104747</v>
      </c>
      <c r="O18" s="69">
        <v>109953</v>
      </c>
      <c r="P18" s="69">
        <v>117208</v>
      </c>
      <c r="Q18" s="69">
        <v>115825</v>
      </c>
      <c r="R18" s="69">
        <v>129968</v>
      </c>
      <c r="S18" s="69">
        <v>140602</v>
      </c>
      <c r="T18" s="69">
        <v>139288</v>
      </c>
      <c r="U18" s="69">
        <v>129734</v>
      </c>
    </row>
    <row r="19" spans="1:21" x14ac:dyDescent="0.25">
      <c r="A19" s="42" t="s">
        <v>16</v>
      </c>
      <c r="B19" s="109"/>
      <c r="C19" s="69">
        <v>404561</v>
      </c>
      <c r="D19" s="69">
        <v>406575</v>
      </c>
      <c r="E19" s="69">
        <v>405781</v>
      </c>
      <c r="F19" s="69">
        <v>405637</v>
      </c>
      <c r="G19" s="69">
        <v>405824</v>
      </c>
      <c r="H19" s="69">
        <v>405903</v>
      </c>
      <c r="I19" s="69">
        <v>405579</v>
      </c>
      <c r="J19" s="69">
        <v>405639</v>
      </c>
      <c r="K19" s="69">
        <v>405574</v>
      </c>
      <c r="L19" s="69">
        <v>405581</v>
      </c>
      <c r="M19" s="69">
        <v>427663</v>
      </c>
      <c r="N19" s="69">
        <v>420387</v>
      </c>
      <c r="O19" s="69">
        <v>420494</v>
      </c>
      <c r="P19" s="69">
        <v>420573</v>
      </c>
      <c r="Q19" s="69">
        <v>419871</v>
      </c>
      <c r="R19" s="69">
        <v>419654</v>
      </c>
      <c r="S19" s="69">
        <v>418659</v>
      </c>
      <c r="T19" s="69">
        <v>418693</v>
      </c>
      <c r="U19" s="69">
        <v>581595</v>
      </c>
    </row>
    <row r="20" spans="1:21" x14ac:dyDescent="0.25">
      <c r="A20" s="43" t="s">
        <v>140</v>
      </c>
      <c r="B20" s="111"/>
      <c r="C20" s="69">
        <v>76578</v>
      </c>
      <c r="D20" s="69">
        <v>73298</v>
      </c>
      <c r="E20" s="69">
        <v>69008</v>
      </c>
      <c r="F20" s="69">
        <v>64819</v>
      </c>
      <c r="G20" s="69">
        <v>60681</v>
      </c>
      <c r="H20" s="69">
        <v>56487</v>
      </c>
      <c r="I20" s="69">
        <v>53315</v>
      </c>
      <c r="J20" s="69">
        <v>50164</v>
      </c>
      <c r="K20" s="69">
        <v>47080</v>
      </c>
      <c r="L20" s="69">
        <v>44003</v>
      </c>
      <c r="M20" s="69">
        <v>51291</v>
      </c>
      <c r="N20" s="69">
        <v>49331</v>
      </c>
      <c r="O20" s="69">
        <v>46092</v>
      </c>
      <c r="P20" s="69">
        <v>42825</v>
      </c>
      <c r="Q20" s="69">
        <v>39511</v>
      </c>
      <c r="R20" s="69">
        <v>36204</v>
      </c>
      <c r="S20" s="69">
        <v>32978</v>
      </c>
      <c r="T20" s="69">
        <v>29720</v>
      </c>
      <c r="U20" s="69">
        <v>99523</v>
      </c>
    </row>
    <row r="21" spans="1:21" x14ac:dyDescent="0.25">
      <c r="A21" s="15" t="s">
        <v>115</v>
      </c>
      <c r="B21" s="109"/>
      <c r="C21" s="69">
        <v>3118</v>
      </c>
      <c r="D21" s="69">
        <v>3261</v>
      </c>
      <c r="E21" s="69">
        <v>3369</v>
      </c>
      <c r="F21" s="69">
        <v>3438</v>
      </c>
      <c r="G21" s="69">
        <v>3504</v>
      </c>
      <c r="H21" s="69">
        <v>3570</v>
      </c>
      <c r="I21" s="69">
        <v>4195</v>
      </c>
      <c r="J21" s="69">
        <v>4191</v>
      </c>
      <c r="K21" s="69">
        <v>4163</v>
      </c>
      <c r="L21" s="69">
        <v>4155</v>
      </c>
      <c r="M21" s="69">
        <v>4720</v>
      </c>
      <c r="N21" s="69">
        <v>4678</v>
      </c>
      <c r="O21" s="69">
        <v>5168</v>
      </c>
      <c r="P21" s="69">
        <v>5028</v>
      </c>
      <c r="Q21" s="69">
        <v>5547</v>
      </c>
      <c r="R21" s="69">
        <v>5573</v>
      </c>
      <c r="S21" s="69">
        <v>5570</v>
      </c>
      <c r="T21" s="92">
        <v>6142</v>
      </c>
      <c r="U21" s="92">
        <v>6190</v>
      </c>
    </row>
    <row r="22" spans="1:21" x14ac:dyDescent="0.25">
      <c r="A22" s="15" t="s">
        <v>114</v>
      </c>
      <c r="C22" s="69">
        <v>184</v>
      </c>
      <c r="D22" s="69">
        <v>22997</v>
      </c>
      <c r="E22" s="69">
        <v>31355</v>
      </c>
      <c r="F22" s="92">
        <v>31341</v>
      </c>
      <c r="G22" s="69">
        <v>32055</v>
      </c>
      <c r="H22" s="69">
        <v>12515</v>
      </c>
      <c r="I22" s="69">
        <v>1078</v>
      </c>
      <c r="J22" s="69">
        <v>239</v>
      </c>
      <c r="K22" s="69">
        <v>241</v>
      </c>
      <c r="L22" s="69">
        <v>9332.0094900000004</v>
      </c>
      <c r="M22" s="69">
        <v>9464</v>
      </c>
      <c r="N22" s="69">
        <v>9294</v>
      </c>
      <c r="O22" s="69">
        <v>14966</v>
      </c>
      <c r="P22" s="69">
        <v>2488</v>
      </c>
      <c r="Q22" s="69">
        <v>2454</v>
      </c>
      <c r="R22" s="69">
        <v>2625</v>
      </c>
      <c r="S22" s="69">
        <v>11962</v>
      </c>
      <c r="T22" s="92">
        <v>254</v>
      </c>
      <c r="U22" s="92">
        <v>260</v>
      </c>
    </row>
    <row r="23" spans="1:21" x14ac:dyDescent="0.25">
      <c r="A23" s="42" t="s">
        <v>22</v>
      </c>
      <c r="B23" s="109"/>
      <c r="C23" s="69">
        <v>32031</v>
      </c>
      <c r="D23" s="69">
        <v>30198</v>
      </c>
      <c r="E23" s="69">
        <v>29838</v>
      </c>
      <c r="F23" s="69">
        <v>32069</v>
      </c>
      <c r="G23" s="69">
        <v>36525</v>
      </c>
      <c r="H23" s="69">
        <v>48255</v>
      </c>
      <c r="I23" s="69">
        <v>51398</v>
      </c>
      <c r="J23" s="69">
        <v>49524</v>
      </c>
      <c r="K23" s="69">
        <v>52979</v>
      </c>
      <c r="L23" s="69">
        <v>53939</v>
      </c>
      <c r="M23" s="69">
        <v>57113</v>
      </c>
      <c r="N23" s="69">
        <v>56085</v>
      </c>
      <c r="O23" s="69">
        <v>61925</v>
      </c>
      <c r="P23" s="69">
        <v>64991</v>
      </c>
      <c r="Q23" s="69">
        <v>65250</v>
      </c>
      <c r="R23" s="69">
        <v>61771</v>
      </c>
      <c r="S23" s="69">
        <v>59915</v>
      </c>
      <c r="T23" s="69">
        <v>59340</v>
      </c>
      <c r="U23" s="69">
        <v>72471</v>
      </c>
    </row>
    <row r="24" spans="1:21" s="1" customFormat="1" ht="13" x14ac:dyDescent="0.3">
      <c r="A24" s="116" t="s">
        <v>52</v>
      </c>
      <c r="B24" s="122"/>
      <c r="C24" s="120">
        <f t="shared" ref="C24:I24" si="4">SUM(C13:C23)</f>
        <v>1274549</v>
      </c>
      <c r="D24" s="120">
        <f t="shared" si="4"/>
        <v>1290934</v>
      </c>
      <c r="E24" s="120">
        <f t="shared" si="4"/>
        <v>1318728</v>
      </c>
      <c r="F24" s="120">
        <f t="shared" si="4"/>
        <v>1346119</v>
      </c>
      <c r="G24" s="120">
        <f t="shared" si="4"/>
        <v>1308571</v>
      </c>
      <c r="H24" s="120">
        <f t="shared" si="4"/>
        <v>1362702</v>
      </c>
      <c r="I24" s="120">
        <f t="shared" si="4"/>
        <v>1402493</v>
      </c>
      <c r="J24" s="120">
        <f t="shared" ref="J24:K24" si="5">SUM(J13:J23)</f>
        <v>1441972</v>
      </c>
      <c r="K24" s="120">
        <f t="shared" si="5"/>
        <v>1439391</v>
      </c>
      <c r="L24" s="121">
        <f t="shared" ref="L24:M24" si="6">SUM(L13:L23)</f>
        <v>1503766.71997</v>
      </c>
      <c r="M24" s="121">
        <f t="shared" si="6"/>
        <v>1609832</v>
      </c>
      <c r="N24" s="121">
        <f t="shared" ref="N24:S24" si="7">SUM(N13:N23)</f>
        <v>1618403</v>
      </c>
      <c r="O24" s="121">
        <f t="shared" si="7"/>
        <v>1676411</v>
      </c>
      <c r="P24" s="121">
        <f t="shared" si="7"/>
        <v>1708503</v>
      </c>
      <c r="Q24" s="121">
        <f t="shared" si="7"/>
        <v>1733632</v>
      </c>
      <c r="R24" s="121">
        <f t="shared" si="7"/>
        <v>1702235</v>
      </c>
      <c r="S24" s="121">
        <f t="shared" si="7"/>
        <v>1676379</v>
      </c>
      <c r="T24" s="121">
        <f t="shared" ref="T24:U24" si="8">SUM(T13:T23)</f>
        <v>1747887</v>
      </c>
      <c r="U24" s="121">
        <f t="shared" si="8"/>
        <v>2073409</v>
      </c>
    </row>
    <row r="25" spans="1:21" x14ac:dyDescent="0.25">
      <c r="A25" s="17" t="s">
        <v>15</v>
      </c>
      <c r="B25" s="108"/>
      <c r="S25" s="69"/>
      <c r="T25" s="69"/>
      <c r="U25" s="69"/>
    </row>
    <row r="26" spans="1:21" ht="13" x14ac:dyDescent="0.3">
      <c r="A26" s="166" t="s">
        <v>137</v>
      </c>
      <c r="B26" s="167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99"/>
      <c r="T26" s="199"/>
      <c r="U26" s="199"/>
    </row>
    <row r="27" spans="1:21" ht="13" x14ac:dyDescent="0.3">
      <c r="A27" s="40" t="s">
        <v>17</v>
      </c>
      <c r="B27" s="108"/>
      <c r="S27" s="69"/>
      <c r="T27" s="69"/>
      <c r="U27" s="69"/>
    </row>
    <row r="28" spans="1:21" s="1" customFormat="1" ht="13" x14ac:dyDescent="0.3">
      <c r="A28" s="41" t="s">
        <v>18</v>
      </c>
      <c r="B28" s="112"/>
      <c r="C28" s="178">
        <v>4796</v>
      </c>
      <c r="D28" s="178">
        <v>4377</v>
      </c>
      <c r="E28" s="178">
        <v>3487</v>
      </c>
      <c r="F28" s="178">
        <v>7789</v>
      </c>
      <c r="G28" s="178">
        <v>3384</v>
      </c>
      <c r="H28" s="178">
        <v>3019</v>
      </c>
      <c r="I28" s="178">
        <v>3159</v>
      </c>
      <c r="J28" s="178">
        <v>5055</v>
      </c>
      <c r="K28" s="178">
        <v>3093</v>
      </c>
      <c r="L28" s="178">
        <v>2996</v>
      </c>
      <c r="M28" s="178">
        <v>4082</v>
      </c>
      <c r="N28" s="178">
        <v>5884</v>
      </c>
      <c r="O28" s="178">
        <v>5648</v>
      </c>
      <c r="P28" s="178">
        <v>5971</v>
      </c>
      <c r="Q28" s="178">
        <v>6767</v>
      </c>
      <c r="R28" s="178">
        <v>4753</v>
      </c>
      <c r="S28" s="178">
        <v>11260</v>
      </c>
      <c r="T28" s="178">
        <v>6733</v>
      </c>
      <c r="U28" s="178">
        <v>6505</v>
      </c>
    </row>
    <row r="29" spans="1:21" s="1" customFormat="1" ht="13" x14ac:dyDescent="0.3">
      <c r="A29" s="41" t="s">
        <v>85</v>
      </c>
      <c r="B29" s="112"/>
      <c r="C29" s="69">
        <v>35000</v>
      </c>
      <c r="D29" s="69">
        <v>35000</v>
      </c>
      <c r="E29" s="69">
        <v>35000</v>
      </c>
      <c r="F29" s="69">
        <v>30000</v>
      </c>
      <c r="G29" s="69">
        <v>40000</v>
      </c>
      <c r="H29" s="69">
        <v>30000</v>
      </c>
      <c r="I29" s="69">
        <v>50000</v>
      </c>
      <c r="J29" s="69">
        <v>65000</v>
      </c>
      <c r="K29" s="69">
        <v>65000</v>
      </c>
      <c r="L29" s="69">
        <v>75000</v>
      </c>
      <c r="M29" s="69">
        <v>4891</v>
      </c>
      <c r="N29" s="69">
        <v>4886</v>
      </c>
      <c r="O29" s="69">
        <v>4886</v>
      </c>
      <c r="P29" s="69">
        <v>4886</v>
      </c>
      <c r="Q29" s="69">
        <v>4886</v>
      </c>
      <c r="R29" s="69">
        <v>4886</v>
      </c>
      <c r="S29" s="69">
        <v>4886</v>
      </c>
      <c r="T29" s="69">
        <v>381155</v>
      </c>
      <c r="U29" s="69">
        <v>9703</v>
      </c>
    </row>
    <row r="30" spans="1:21" x14ac:dyDescent="0.25">
      <c r="A30" s="41" t="s">
        <v>19</v>
      </c>
      <c r="B30" s="113"/>
      <c r="C30" s="69">
        <v>22571</v>
      </c>
      <c r="D30" s="69">
        <v>22013</v>
      </c>
      <c r="E30" s="69">
        <v>19279</v>
      </c>
      <c r="F30" s="69">
        <v>18782</v>
      </c>
      <c r="G30" s="69">
        <v>21525</v>
      </c>
      <c r="H30" s="69">
        <v>20755</v>
      </c>
      <c r="I30" s="69">
        <v>13766</v>
      </c>
      <c r="J30" s="69">
        <v>12318</v>
      </c>
      <c r="K30" s="69">
        <v>16939</v>
      </c>
      <c r="L30" s="69">
        <v>15406</v>
      </c>
      <c r="M30" s="69">
        <v>12472</v>
      </c>
      <c r="N30" s="69">
        <v>19264</v>
      </c>
      <c r="O30" s="69">
        <v>20138</v>
      </c>
      <c r="P30" s="69">
        <v>21989</v>
      </c>
      <c r="Q30" s="69">
        <v>17497</v>
      </c>
      <c r="R30" s="69">
        <v>15356</v>
      </c>
      <c r="S30" s="69">
        <v>22905</v>
      </c>
      <c r="T30" s="69">
        <v>22591</v>
      </c>
      <c r="U30" s="69">
        <v>20257</v>
      </c>
    </row>
    <row r="31" spans="1:21" x14ac:dyDescent="0.25">
      <c r="A31" s="41" t="s">
        <v>192</v>
      </c>
      <c r="B31" s="113"/>
      <c r="C31" s="69">
        <v>52276</v>
      </c>
      <c r="D31" s="69">
        <v>75698</v>
      </c>
      <c r="E31" s="69">
        <v>92252</v>
      </c>
      <c r="F31" s="69">
        <v>108100</v>
      </c>
      <c r="G31" s="69">
        <v>49955</v>
      </c>
      <c r="H31" s="69">
        <v>82044</v>
      </c>
      <c r="I31" s="69">
        <v>105535</v>
      </c>
      <c r="J31" s="69">
        <v>117137</v>
      </c>
      <c r="K31" s="69">
        <v>50970</v>
      </c>
      <c r="L31" s="69">
        <v>80443</v>
      </c>
      <c r="M31" s="69">
        <v>110677</v>
      </c>
      <c r="N31" s="69">
        <v>129994</v>
      </c>
      <c r="O31" s="69">
        <v>63575</v>
      </c>
      <c r="P31" s="69">
        <v>99535</v>
      </c>
      <c r="Q31" s="69">
        <v>129381</v>
      </c>
      <c r="R31" s="69">
        <v>146775</v>
      </c>
      <c r="S31" s="69">
        <v>71604</v>
      </c>
      <c r="T31" s="69">
        <v>112908</v>
      </c>
      <c r="U31" s="69">
        <v>155231</v>
      </c>
    </row>
    <row r="32" spans="1:21" x14ac:dyDescent="0.25">
      <c r="A32" s="41" t="s">
        <v>38</v>
      </c>
      <c r="B32" s="113"/>
      <c r="C32" s="69">
        <v>88170</v>
      </c>
      <c r="D32" s="69">
        <v>110378</v>
      </c>
      <c r="E32" s="69">
        <v>120210</v>
      </c>
      <c r="F32" s="69">
        <v>98297</v>
      </c>
      <c r="G32" s="69">
        <v>151945</v>
      </c>
      <c r="H32" s="69">
        <v>108763</v>
      </c>
      <c r="I32" s="69">
        <v>119678</v>
      </c>
      <c r="J32" s="69">
        <v>114113</v>
      </c>
      <c r="K32" s="69">
        <v>111953</v>
      </c>
      <c r="L32" s="69">
        <v>97613</v>
      </c>
      <c r="M32" s="69">
        <v>105159</v>
      </c>
      <c r="N32" s="69">
        <v>113597</v>
      </c>
      <c r="O32" s="69">
        <v>131980</v>
      </c>
      <c r="P32" s="69">
        <v>121548</v>
      </c>
      <c r="Q32" s="69">
        <v>129297</v>
      </c>
      <c r="R32" s="69">
        <v>135498</v>
      </c>
      <c r="S32" s="69">
        <v>171934</v>
      </c>
      <c r="T32" s="69">
        <v>161525</v>
      </c>
      <c r="U32" s="69">
        <v>232400</v>
      </c>
    </row>
    <row r="33" spans="1:21" x14ac:dyDescent="0.25">
      <c r="A33" s="41" t="s">
        <v>95</v>
      </c>
      <c r="B33" s="113"/>
      <c r="C33" s="69">
        <v>19308</v>
      </c>
      <c r="D33" s="69">
        <v>18548</v>
      </c>
      <c r="E33" s="69">
        <v>16740</v>
      </c>
      <c r="F33" s="69">
        <v>14978</v>
      </c>
      <c r="G33" s="69">
        <v>14095</v>
      </c>
      <c r="H33" s="69">
        <v>14482</v>
      </c>
      <c r="I33" s="69">
        <v>14008</v>
      </c>
      <c r="J33" s="69">
        <v>12780</v>
      </c>
      <c r="K33" s="69">
        <v>13486</v>
      </c>
      <c r="L33" s="69">
        <v>15404</v>
      </c>
      <c r="M33" s="69">
        <v>16904</v>
      </c>
      <c r="N33" s="69">
        <v>16491</v>
      </c>
      <c r="O33" s="69">
        <v>17426</v>
      </c>
      <c r="P33" s="69">
        <v>18374</v>
      </c>
      <c r="Q33" s="69">
        <v>19174</v>
      </c>
      <c r="R33" s="69">
        <v>16857</v>
      </c>
      <c r="S33" s="69">
        <v>16925</v>
      </c>
      <c r="T33" s="69">
        <v>18734</v>
      </c>
      <c r="U33" s="69">
        <v>20093</v>
      </c>
    </row>
    <row r="34" spans="1:21" ht="13" x14ac:dyDescent="0.3">
      <c r="A34" s="34" t="s">
        <v>20</v>
      </c>
      <c r="B34" s="110"/>
      <c r="C34" s="179">
        <f t="shared" ref="C34:R34" si="9">SUM(C28:C33)</f>
        <v>222121</v>
      </c>
      <c r="D34" s="179">
        <f t="shared" si="9"/>
        <v>266014</v>
      </c>
      <c r="E34" s="179">
        <f t="shared" si="9"/>
        <v>286968</v>
      </c>
      <c r="F34" s="180">
        <f t="shared" si="9"/>
        <v>277946</v>
      </c>
      <c r="G34" s="180">
        <f t="shared" si="9"/>
        <v>280904</v>
      </c>
      <c r="H34" s="180">
        <f t="shared" si="9"/>
        <v>259063</v>
      </c>
      <c r="I34" s="180">
        <f t="shared" si="9"/>
        <v>306146</v>
      </c>
      <c r="J34" s="180">
        <f t="shared" si="9"/>
        <v>326403</v>
      </c>
      <c r="K34" s="180">
        <f t="shared" si="9"/>
        <v>261441</v>
      </c>
      <c r="L34" s="180">
        <f t="shared" si="9"/>
        <v>286862</v>
      </c>
      <c r="M34" s="180">
        <f t="shared" si="9"/>
        <v>254185</v>
      </c>
      <c r="N34" s="180">
        <f t="shared" si="9"/>
        <v>290116</v>
      </c>
      <c r="O34" s="180">
        <f t="shared" si="9"/>
        <v>243653</v>
      </c>
      <c r="P34" s="180">
        <f t="shared" si="9"/>
        <v>272303</v>
      </c>
      <c r="Q34" s="180">
        <f t="shared" si="9"/>
        <v>307002</v>
      </c>
      <c r="R34" s="180">
        <f t="shared" si="9"/>
        <v>324125</v>
      </c>
      <c r="S34" s="180">
        <f t="shared" ref="S34:T34" si="10">SUM(S28:S33)</f>
        <v>299514</v>
      </c>
      <c r="T34" s="180">
        <f t="shared" si="10"/>
        <v>703646</v>
      </c>
      <c r="U34" s="180">
        <f t="shared" ref="U34" si="11">SUM(U28:U33)</f>
        <v>444189</v>
      </c>
    </row>
    <row r="35" spans="1:21" x14ac:dyDescent="0.25">
      <c r="A35" s="45" t="s">
        <v>15</v>
      </c>
      <c r="B35" s="113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</row>
    <row r="36" spans="1:21" x14ac:dyDescent="0.25">
      <c r="A36" s="41" t="s">
        <v>197</v>
      </c>
      <c r="B36" s="113"/>
      <c r="C36" s="69">
        <v>260000</v>
      </c>
      <c r="D36" s="69">
        <v>250000</v>
      </c>
      <c r="E36" s="69">
        <v>235000</v>
      </c>
      <c r="F36" s="69">
        <v>220000</v>
      </c>
      <c r="G36" s="69">
        <v>160000</v>
      </c>
      <c r="H36" s="69">
        <v>190000</v>
      </c>
      <c r="I36" s="69">
        <v>160000</v>
      </c>
      <c r="J36" s="69">
        <v>135000</v>
      </c>
      <c r="K36" s="69">
        <v>280000</v>
      </c>
      <c r="L36" s="69">
        <v>260000</v>
      </c>
      <c r="M36" s="69">
        <v>339828</v>
      </c>
      <c r="N36" s="69">
        <v>283598</v>
      </c>
      <c r="O36" s="69">
        <v>302377</v>
      </c>
      <c r="P36" s="69">
        <v>255155</v>
      </c>
      <c r="Q36" s="69">
        <v>349934</v>
      </c>
      <c r="R36" s="69">
        <v>293712</v>
      </c>
      <c r="S36" s="69">
        <v>412491</v>
      </c>
      <c r="T36" s="69">
        <v>0</v>
      </c>
      <c r="U36" s="69">
        <v>501346</v>
      </c>
    </row>
    <row r="37" spans="1:21" x14ac:dyDescent="0.25">
      <c r="A37" s="41" t="s">
        <v>96</v>
      </c>
      <c r="B37" s="109"/>
      <c r="C37" s="69">
        <v>66173</v>
      </c>
      <c r="D37" s="69">
        <v>59224</v>
      </c>
      <c r="E37" s="69">
        <v>54174</v>
      </c>
      <c r="F37" s="69">
        <v>48155</v>
      </c>
      <c r="G37" s="69">
        <v>45655</v>
      </c>
      <c r="H37" s="69">
        <v>50575</v>
      </c>
      <c r="I37" s="69">
        <v>48445</v>
      </c>
      <c r="J37" s="69">
        <v>58175</v>
      </c>
      <c r="K37" s="69">
        <v>59876</v>
      </c>
      <c r="L37" s="69">
        <v>64412</v>
      </c>
      <c r="M37" s="69">
        <v>62336</v>
      </c>
      <c r="N37" s="69">
        <v>59851</v>
      </c>
      <c r="O37" s="69">
        <v>61408</v>
      </c>
      <c r="P37" s="69">
        <v>62402</v>
      </c>
      <c r="Q37" s="69">
        <v>60463</v>
      </c>
      <c r="R37" s="69">
        <v>88167</v>
      </c>
      <c r="S37" s="69">
        <v>84277</v>
      </c>
      <c r="T37" s="69">
        <v>88130</v>
      </c>
      <c r="U37" s="69">
        <v>84205</v>
      </c>
    </row>
    <row r="38" spans="1:21" x14ac:dyDescent="0.25">
      <c r="A38" s="41" t="s">
        <v>101</v>
      </c>
      <c r="B38" s="109"/>
      <c r="C38" s="69">
        <v>928</v>
      </c>
      <c r="D38" s="69">
        <v>841</v>
      </c>
      <c r="E38" s="69">
        <v>759</v>
      </c>
      <c r="F38" s="69">
        <v>547</v>
      </c>
      <c r="G38" s="69">
        <v>493</v>
      </c>
      <c r="H38" s="69">
        <v>507</v>
      </c>
      <c r="I38" s="69">
        <v>461</v>
      </c>
      <c r="J38" s="69">
        <v>1495</v>
      </c>
      <c r="K38" s="69">
        <v>1435</v>
      </c>
      <c r="L38" s="69">
        <v>2271</v>
      </c>
      <c r="M38" s="69">
        <v>3245</v>
      </c>
      <c r="N38" s="69">
        <v>1403</v>
      </c>
      <c r="O38" s="69">
        <v>1625</v>
      </c>
      <c r="P38" s="69">
        <v>2216</v>
      </c>
      <c r="Q38" s="69">
        <v>2465</v>
      </c>
      <c r="R38" s="69">
        <v>2125</v>
      </c>
      <c r="S38" s="69">
        <v>1707</v>
      </c>
      <c r="T38" s="69">
        <v>2256</v>
      </c>
      <c r="U38" s="69">
        <v>2591</v>
      </c>
    </row>
    <row r="39" spans="1:21" x14ac:dyDescent="0.25">
      <c r="A39" s="91" t="s">
        <v>23</v>
      </c>
      <c r="B39" s="109"/>
      <c r="C39" s="69">
        <v>24986</v>
      </c>
      <c r="D39" s="69">
        <v>29202</v>
      </c>
      <c r="E39" s="69">
        <v>37243</v>
      </c>
      <c r="F39" s="69">
        <v>41292</v>
      </c>
      <c r="G39" s="69">
        <v>26297</v>
      </c>
      <c r="H39" s="69">
        <v>28343</v>
      </c>
      <c r="I39" s="69">
        <v>31354</v>
      </c>
      <c r="J39" s="69">
        <v>31462</v>
      </c>
      <c r="K39" s="69">
        <v>33384</v>
      </c>
      <c r="L39" s="69">
        <v>37616</v>
      </c>
      <c r="M39" s="69">
        <v>42675</v>
      </c>
      <c r="N39" s="69">
        <v>53573</v>
      </c>
      <c r="O39" s="69">
        <v>55471</v>
      </c>
      <c r="P39" s="69">
        <v>55477</v>
      </c>
      <c r="Q39" s="69">
        <v>61379</v>
      </c>
      <c r="R39" s="69">
        <v>81401</v>
      </c>
      <c r="S39" s="69">
        <v>99586</v>
      </c>
      <c r="T39" s="69">
        <v>87613</v>
      </c>
      <c r="U39" s="69">
        <v>112990</v>
      </c>
    </row>
    <row r="40" spans="1:21" ht="13" x14ac:dyDescent="0.3">
      <c r="A40" s="30" t="s">
        <v>40</v>
      </c>
      <c r="B40" s="31"/>
      <c r="C40" s="181">
        <f t="shared" ref="C40:J40" si="12">SUM(C34:C39)</f>
        <v>574208</v>
      </c>
      <c r="D40" s="181">
        <f t="shared" si="12"/>
        <v>605281</v>
      </c>
      <c r="E40" s="181">
        <f t="shared" si="12"/>
        <v>614144</v>
      </c>
      <c r="F40" s="181">
        <f t="shared" si="12"/>
        <v>587940</v>
      </c>
      <c r="G40" s="181">
        <f t="shared" si="12"/>
        <v>513349</v>
      </c>
      <c r="H40" s="181">
        <f t="shared" si="12"/>
        <v>528488</v>
      </c>
      <c r="I40" s="181">
        <f t="shared" si="12"/>
        <v>546406</v>
      </c>
      <c r="J40" s="181">
        <f t="shared" si="12"/>
        <v>552535</v>
      </c>
      <c r="K40" s="181">
        <f t="shared" ref="K40:M40" si="13">SUM(K34:K39)</f>
        <v>636136</v>
      </c>
      <c r="L40" s="181">
        <f t="shared" si="13"/>
        <v>651161</v>
      </c>
      <c r="M40" s="181">
        <f t="shared" si="13"/>
        <v>702269</v>
      </c>
      <c r="N40" s="181">
        <f t="shared" ref="N40:S40" si="14">SUM(N34:N39)</f>
        <v>688541</v>
      </c>
      <c r="O40" s="181">
        <f t="shared" si="14"/>
        <v>664534</v>
      </c>
      <c r="P40" s="181">
        <f t="shared" si="14"/>
        <v>647553</v>
      </c>
      <c r="Q40" s="181">
        <f t="shared" si="14"/>
        <v>781243</v>
      </c>
      <c r="R40" s="181">
        <f t="shared" si="14"/>
        <v>789530</v>
      </c>
      <c r="S40" s="181">
        <f t="shared" si="14"/>
        <v>897575</v>
      </c>
      <c r="T40" s="181">
        <f t="shared" ref="T40:U40" si="15">SUM(T34:T39)</f>
        <v>881645</v>
      </c>
      <c r="U40" s="181">
        <f t="shared" si="15"/>
        <v>1145321</v>
      </c>
    </row>
    <row r="41" spans="1:21" x14ac:dyDescent="0.25">
      <c r="A41" s="14" t="s">
        <v>15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</row>
    <row r="42" spans="1:21" ht="13" x14ac:dyDescent="0.3">
      <c r="A42" s="16" t="s">
        <v>157</v>
      </c>
      <c r="B42" s="1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</row>
    <row r="43" spans="1:21" ht="13" x14ac:dyDescent="0.3">
      <c r="A43" s="16"/>
      <c r="B43" s="1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</row>
    <row r="44" spans="1:21" x14ac:dyDescent="0.25">
      <c r="A44" s="15" t="s">
        <v>166</v>
      </c>
      <c r="C44" s="69">
        <v>40</v>
      </c>
      <c r="D44" s="69">
        <v>40</v>
      </c>
      <c r="E44" s="69">
        <v>40</v>
      </c>
      <c r="F44" s="69">
        <v>40</v>
      </c>
      <c r="G44" s="69">
        <v>40</v>
      </c>
      <c r="H44" s="69">
        <v>40</v>
      </c>
      <c r="I44" s="69">
        <v>202</v>
      </c>
      <c r="J44" s="69">
        <v>203</v>
      </c>
      <c r="K44" s="69">
        <v>204</v>
      </c>
      <c r="L44" s="69">
        <v>204</v>
      </c>
      <c r="M44" s="69">
        <v>205</v>
      </c>
      <c r="N44" s="69">
        <v>206</v>
      </c>
      <c r="O44" s="69">
        <v>207</v>
      </c>
      <c r="P44" s="69">
        <v>207</v>
      </c>
      <c r="Q44" s="69">
        <v>207</v>
      </c>
      <c r="R44" s="69">
        <v>209</v>
      </c>
      <c r="S44" s="69">
        <v>210</v>
      </c>
      <c r="T44" s="69">
        <v>210</v>
      </c>
      <c r="U44" s="69">
        <v>210</v>
      </c>
    </row>
    <row r="45" spans="1:21" x14ac:dyDescent="0.25">
      <c r="A45" s="15" t="s">
        <v>21</v>
      </c>
      <c r="C45" s="69">
        <v>406966</v>
      </c>
      <c r="D45" s="69">
        <v>420306</v>
      </c>
      <c r="E45" s="69">
        <v>432492</v>
      </c>
      <c r="F45" s="69">
        <v>445108</v>
      </c>
      <c r="G45" s="69">
        <v>460527</v>
      </c>
      <c r="H45" s="69">
        <v>472124</v>
      </c>
      <c r="I45" s="69">
        <v>492577</v>
      </c>
      <c r="J45" s="69">
        <v>508028</v>
      </c>
      <c r="K45" s="69">
        <v>502827</v>
      </c>
      <c r="L45" s="69">
        <v>520922</v>
      </c>
      <c r="M45" s="69">
        <v>572430</v>
      </c>
      <c r="N45" s="69">
        <v>588583</v>
      </c>
      <c r="O45" s="69">
        <v>609592</v>
      </c>
      <c r="P45" s="69">
        <v>625984</v>
      </c>
      <c r="Q45" s="69">
        <v>627966</v>
      </c>
      <c r="R45" s="69">
        <v>677562</v>
      </c>
      <c r="S45" s="69">
        <v>674662</v>
      </c>
      <c r="T45" s="69">
        <v>724432</v>
      </c>
      <c r="U45" s="69">
        <v>750312</v>
      </c>
    </row>
    <row r="46" spans="1:21" x14ac:dyDescent="0.25">
      <c r="A46" s="42" t="s">
        <v>24</v>
      </c>
      <c r="B46" s="44"/>
      <c r="C46" s="69">
        <v>792315</v>
      </c>
      <c r="D46" s="69">
        <v>828161</v>
      </c>
      <c r="E46" s="69">
        <v>867256</v>
      </c>
      <c r="F46" s="69">
        <v>899105</v>
      </c>
      <c r="G46" s="69">
        <v>950436</v>
      </c>
      <c r="H46" s="69">
        <v>999504</v>
      </c>
      <c r="I46" s="69">
        <v>1043380</v>
      </c>
      <c r="J46" s="69">
        <v>1083663</v>
      </c>
      <c r="K46" s="69">
        <v>1132426</v>
      </c>
      <c r="L46" s="69">
        <v>1178251</v>
      </c>
      <c r="M46" s="69">
        <v>1231288</v>
      </c>
      <c r="N46" s="69">
        <v>1281960</v>
      </c>
      <c r="O46" s="69">
        <v>1348521</v>
      </c>
      <c r="P46" s="69">
        <v>1414572</v>
      </c>
      <c r="Q46" s="69">
        <v>1472733</v>
      </c>
      <c r="R46" s="69">
        <v>1532979</v>
      </c>
      <c r="S46" s="69">
        <v>1600060</v>
      </c>
      <c r="T46" s="69">
        <v>1664571</v>
      </c>
      <c r="U46" s="69">
        <v>1733342</v>
      </c>
    </row>
    <row r="47" spans="1:21" x14ac:dyDescent="0.25">
      <c r="A47" s="42" t="s">
        <v>167</v>
      </c>
      <c r="B47" s="44"/>
      <c r="C47" s="69">
        <v>-98306</v>
      </c>
      <c r="D47" s="69">
        <v>-133374</v>
      </c>
      <c r="E47" s="69">
        <v>-154203</v>
      </c>
      <c r="F47" s="69">
        <v>-144143</v>
      </c>
      <c r="G47" s="69">
        <v>-131487</v>
      </c>
      <c r="H47" s="69">
        <v>-124147</v>
      </c>
      <c r="I47" s="69">
        <v>-136805</v>
      </c>
      <c r="J47" s="69">
        <v>-127040</v>
      </c>
      <c r="K47" s="69">
        <v>-130436</v>
      </c>
      <c r="L47" s="69">
        <v>-136108</v>
      </c>
      <c r="M47" s="69">
        <v>-122593</v>
      </c>
      <c r="N47" s="69">
        <v>-154722</v>
      </c>
      <c r="O47" s="69">
        <v>-142787</v>
      </c>
      <c r="P47" s="69">
        <v>-134434</v>
      </c>
      <c r="Q47" s="69">
        <v>-168977</v>
      </c>
      <c r="R47" s="69">
        <v>-180727</v>
      </c>
      <c r="S47" s="69">
        <v>-237374</v>
      </c>
      <c r="T47" s="69">
        <v>-223682</v>
      </c>
      <c r="U47" s="69">
        <v>-230031</v>
      </c>
    </row>
    <row r="48" spans="1:21" x14ac:dyDescent="0.25">
      <c r="A48" s="15" t="s">
        <v>93</v>
      </c>
      <c r="C48" s="69">
        <v>-400674</v>
      </c>
      <c r="D48" s="69">
        <v>-429480</v>
      </c>
      <c r="E48" s="69">
        <v>-441001</v>
      </c>
      <c r="F48" s="69">
        <v>-441931</v>
      </c>
      <c r="G48" s="69">
        <v>-484294</v>
      </c>
      <c r="H48" s="69">
        <v>-513307</v>
      </c>
      <c r="I48" s="69">
        <v>-543267</v>
      </c>
      <c r="J48" s="69">
        <v>-575417</v>
      </c>
      <c r="K48" s="69">
        <v>-701766</v>
      </c>
      <c r="L48" s="69">
        <v>-710663</v>
      </c>
      <c r="M48" s="69">
        <v>-773767</v>
      </c>
      <c r="N48" s="69">
        <v>-786165</v>
      </c>
      <c r="O48" s="69">
        <v>-803656</v>
      </c>
      <c r="P48" s="69">
        <v>-845379</v>
      </c>
      <c r="Q48" s="69">
        <v>-979540</v>
      </c>
      <c r="R48" s="69">
        <v>-1117318</v>
      </c>
      <c r="S48" s="69">
        <v>-1258754</v>
      </c>
      <c r="T48" s="69">
        <v>-1299289</v>
      </c>
      <c r="U48" s="69">
        <v>-1325745</v>
      </c>
    </row>
    <row r="49" spans="1:181" ht="13" x14ac:dyDescent="0.3">
      <c r="A49" s="63" t="s">
        <v>56</v>
      </c>
      <c r="B49" s="31"/>
      <c r="C49" s="181">
        <f t="shared" ref="C49:S49" si="16">SUM(C44:C48)</f>
        <v>700341</v>
      </c>
      <c r="D49" s="181">
        <f t="shared" si="16"/>
        <v>685653</v>
      </c>
      <c r="E49" s="181">
        <f t="shared" si="16"/>
        <v>704584</v>
      </c>
      <c r="F49" s="181">
        <f t="shared" si="16"/>
        <v>758179</v>
      </c>
      <c r="G49" s="181">
        <f t="shared" si="16"/>
        <v>795222</v>
      </c>
      <c r="H49" s="181">
        <f t="shared" si="16"/>
        <v>834214</v>
      </c>
      <c r="I49" s="181">
        <f t="shared" si="16"/>
        <v>856087</v>
      </c>
      <c r="J49" s="181">
        <f t="shared" si="16"/>
        <v>889437</v>
      </c>
      <c r="K49" s="181">
        <f t="shared" si="16"/>
        <v>803255</v>
      </c>
      <c r="L49" s="181">
        <f t="shared" si="16"/>
        <v>852606</v>
      </c>
      <c r="M49" s="181">
        <f t="shared" si="16"/>
        <v>907563</v>
      </c>
      <c r="N49" s="181">
        <f t="shared" si="16"/>
        <v>929862</v>
      </c>
      <c r="O49" s="181">
        <f t="shared" si="16"/>
        <v>1011877</v>
      </c>
      <c r="P49" s="181">
        <f t="shared" si="16"/>
        <v>1060950</v>
      </c>
      <c r="Q49" s="181">
        <f t="shared" si="16"/>
        <v>952389</v>
      </c>
      <c r="R49" s="181">
        <f t="shared" si="16"/>
        <v>912705</v>
      </c>
      <c r="S49" s="181">
        <f t="shared" si="16"/>
        <v>778804</v>
      </c>
      <c r="T49" s="181">
        <f t="shared" ref="T49:U49" si="17">SUM(T44:T48)</f>
        <v>866242</v>
      </c>
      <c r="U49" s="181">
        <f t="shared" si="17"/>
        <v>928088</v>
      </c>
    </row>
    <row r="50" spans="1:181" x14ac:dyDescent="0.25">
      <c r="A50" s="17" t="s">
        <v>15</v>
      </c>
      <c r="S50" s="69"/>
      <c r="T50" s="69"/>
      <c r="U50" s="69"/>
    </row>
    <row r="51" spans="1:181" s="33" customFormat="1" ht="13" x14ac:dyDescent="0.3">
      <c r="A51" s="116" t="s">
        <v>138</v>
      </c>
      <c r="B51" s="119"/>
      <c r="C51" s="120">
        <f t="shared" ref="C51:S51" si="18">C49+C40</f>
        <v>1274549</v>
      </c>
      <c r="D51" s="120">
        <f t="shared" si="18"/>
        <v>1290934</v>
      </c>
      <c r="E51" s="120">
        <f t="shared" si="18"/>
        <v>1318728</v>
      </c>
      <c r="F51" s="120">
        <f t="shared" si="18"/>
        <v>1346119</v>
      </c>
      <c r="G51" s="120">
        <f t="shared" si="18"/>
        <v>1308571</v>
      </c>
      <c r="H51" s="120">
        <f t="shared" si="18"/>
        <v>1362702</v>
      </c>
      <c r="I51" s="120">
        <f t="shared" si="18"/>
        <v>1402493</v>
      </c>
      <c r="J51" s="120">
        <f t="shared" si="18"/>
        <v>1441972</v>
      </c>
      <c r="K51" s="120">
        <f t="shared" si="18"/>
        <v>1439391</v>
      </c>
      <c r="L51" s="121">
        <f t="shared" si="18"/>
        <v>1503767</v>
      </c>
      <c r="M51" s="121">
        <f t="shared" si="18"/>
        <v>1609832</v>
      </c>
      <c r="N51" s="121">
        <f t="shared" si="18"/>
        <v>1618403</v>
      </c>
      <c r="O51" s="121">
        <f t="shared" si="18"/>
        <v>1676411</v>
      </c>
      <c r="P51" s="121">
        <f t="shared" si="18"/>
        <v>1708503</v>
      </c>
      <c r="Q51" s="121">
        <f t="shared" si="18"/>
        <v>1733632</v>
      </c>
      <c r="R51" s="121">
        <f t="shared" si="18"/>
        <v>1702235</v>
      </c>
      <c r="S51" s="121">
        <f t="shared" si="18"/>
        <v>1676379</v>
      </c>
      <c r="T51" s="121">
        <f t="shared" ref="T51:U51" si="19">T49+T40</f>
        <v>1747887</v>
      </c>
      <c r="U51" s="121">
        <f t="shared" si="19"/>
        <v>2073409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</row>
    <row r="52" spans="1:181" hidden="1" x14ac:dyDescent="0.25"/>
    <row r="53" spans="1:181" hidden="1" x14ac:dyDescent="0.25"/>
    <row r="54" spans="1:181" hidden="1" x14ac:dyDescent="0.25"/>
    <row r="55" spans="1:181" hidden="1" x14ac:dyDescent="0.25"/>
    <row r="56" spans="1:181" x14ac:dyDescent="0.25">
      <c r="A56" s="2"/>
    </row>
    <row r="57" spans="1:181" x14ac:dyDescent="0.25">
      <c r="A57" s="2"/>
    </row>
    <row r="58" spans="1:181" x14ac:dyDescent="0.25">
      <c r="A58" s="2"/>
    </row>
    <row r="59" spans="1:181" x14ac:dyDescent="0.25">
      <c r="A59" s="2"/>
    </row>
  </sheetData>
  <hyperlinks>
    <hyperlink ref="R1" location="Contents!B5" display="Back" xr:uid="{596A23BF-2477-4209-9BF6-3DEDF7517A0B}"/>
  </hyperlinks>
  <pageMargins left="0.7" right="0.7" top="0.33" bottom="0.38" header="0.3" footer="0.3"/>
  <pageSetup paperSize="9" scale="95" fitToHeight="0" orientation="landscape" r:id="rId1"/>
  <rowBreaks count="1" manualBreakCount="1">
    <brk id="40" max="2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811F9-D414-48A3-9C70-14C7AD0255F8}">
  <sheetPr>
    <tabColor rgb="FF92D050"/>
    <pageSetUpPr fitToPage="1"/>
  </sheetPr>
  <dimension ref="A1:GJ66"/>
  <sheetViews>
    <sheetView showGridLines="0" view="pageBreakPreview" zoomScale="80" zoomScaleNormal="83" zoomScaleSheetLayoutView="80" workbookViewId="0">
      <pane xSplit="1" ySplit="6" topLeftCell="K7" activePane="bottomRight" state="frozen"/>
      <selection activeCell="B1" sqref="B1"/>
      <selection pane="topRight" activeCell="B1" sqref="B1"/>
      <selection pane="bottomLeft" activeCell="B1" sqref="B1"/>
      <selection pane="bottomRight" activeCell="S10" sqref="S10"/>
    </sheetView>
  </sheetViews>
  <sheetFormatPr defaultColWidth="9.1796875" defaultRowHeight="12.5" outlineLevelCol="1" x14ac:dyDescent="0.25"/>
  <cols>
    <col min="1" max="1" width="72.453125" style="2" customWidth="1"/>
    <col min="2" max="2" width="11" style="19" hidden="1" customWidth="1" outlineLevel="1"/>
    <col min="3" max="3" width="10" style="2" hidden="1" customWidth="1" outlineLevel="1"/>
    <col min="4" max="5" width="11.7265625" style="2" hidden="1" customWidth="1" outlineLevel="1"/>
    <col min="6" max="6" width="11.7265625" style="2" bestFit="1" customWidth="1" collapsed="1"/>
    <col min="7" max="10" width="11.7265625" style="2" hidden="1" customWidth="1" outlineLevel="1"/>
    <col min="11" max="11" width="11.7265625" style="2" bestFit="1" customWidth="1" collapsed="1"/>
    <col min="12" max="15" width="11.7265625" style="2" hidden="1" customWidth="1" outlineLevel="1"/>
    <col min="16" max="16" width="11.7265625" style="2" bestFit="1" customWidth="1" collapsed="1"/>
    <col min="17" max="20" width="11.7265625" style="2" customWidth="1" outlineLevel="1"/>
    <col min="21" max="24" width="11.7265625" style="2" customWidth="1"/>
    <col min="25" max="16384" width="9.1796875" style="2"/>
  </cols>
  <sheetData>
    <row r="1" spans="1:49" ht="13" x14ac:dyDescent="0.3">
      <c r="A1" s="7"/>
      <c r="U1" s="205" t="s">
        <v>162</v>
      </c>
      <c r="V1" s="206"/>
      <c r="W1" s="206"/>
      <c r="X1" s="206"/>
    </row>
    <row r="2" spans="1:49" x14ac:dyDescent="0.25">
      <c r="A2" s="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pans="1:49" ht="28.5" customHeight="1" x14ac:dyDescent="0.25"/>
    <row r="4" spans="1:49" ht="13" x14ac:dyDescent="0.3">
      <c r="A4" s="6" t="s">
        <v>27</v>
      </c>
      <c r="B4" s="4">
        <v>2022</v>
      </c>
      <c r="C4" s="4">
        <v>2022</v>
      </c>
      <c r="D4" s="4">
        <v>2022</v>
      </c>
      <c r="E4" s="4">
        <v>2022</v>
      </c>
      <c r="F4" s="4">
        <v>2022</v>
      </c>
      <c r="G4" s="4">
        <v>2023</v>
      </c>
      <c r="H4" s="4">
        <v>2023</v>
      </c>
      <c r="I4" s="4">
        <v>2023</v>
      </c>
      <c r="J4" s="4">
        <v>2023</v>
      </c>
      <c r="K4" s="4">
        <v>2023</v>
      </c>
      <c r="L4" s="4">
        <v>2024</v>
      </c>
      <c r="M4" s="4">
        <v>2024</v>
      </c>
      <c r="N4" s="4">
        <v>2024</v>
      </c>
      <c r="O4" s="4">
        <v>2024</v>
      </c>
      <c r="P4" s="4">
        <v>2024</v>
      </c>
      <c r="Q4" s="4">
        <v>2025</v>
      </c>
      <c r="R4" s="4">
        <v>2025</v>
      </c>
      <c r="S4" s="4">
        <v>2025</v>
      </c>
      <c r="T4" s="4">
        <v>2025</v>
      </c>
      <c r="U4" s="4">
        <v>2025</v>
      </c>
      <c r="V4" s="4">
        <v>2026</v>
      </c>
      <c r="W4" s="4">
        <v>2026</v>
      </c>
      <c r="X4" s="4">
        <v>2026</v>
      </c>
    </row>
    <row r="5" spans="1:49" ht="13" x14ac:dyDescent="0.3">
      <c r="A5" s="20" t="s">
        <v>39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4</v>
      </c>
      <c r="M5" s="3" t="s">
        <v>5</v>
      </c>
      <c r="N5" s="3" t="s">
        <v>6</v>
      </c>
      <c r="O5" s="3" t="s">
        <v>7</v>
      </c>
      <c r="P5" s="3" t="s">
        <v>8</v>
      </c>
      <c r="Q5" s="3" t="s">
        <v>4</v>
      </c>
      <c r="R5" s="3" t="s">
        <v>5</v>
      </c>
      <c r="S5" s="3" t="s">
        <v>6</v>
      </c>
      <c r="T5" s="3" t="s">
        <v>7</v>
      </c>
      <c r="U5" s="3" t="s">
        <v>8</v>
      </c>
      <c r="V5" s="3" t="s">
        <v>4</v>
      </c>
      <c r="W5" s="3" t="s">
        <v>5</v>
      </c>
      <c r="X5" s="3" t="s">
        <v>6</v>
      </c>
    </row>
    <row r="6" spans="1:49" s="1" customFormat="1" ht="13" x14ac:dyDescent="0.3">
      <c r="B6" s="9"/>
    </row>
    <row r="7" spans="1:49" ht="13" x14ac:dyDescent="0.3">
      <c r="A7" s="9" t="s">
        <v>53</v>
      </c>
    </row>
    <row r="8" spans="1:49" ht="13" x14ac:dyDescent="0.3">
      <c r="A8" s="119" t="s">
        <v>25</v>
      </c>
      <c r="B8" s="168">
        <v>36178</v>
      </c>
      <c r="C8" s="168">
        <v>35846</v>
      </c>
      <c r="D8" s="168">
        <v>39095</v>
      </c>
      <c r="E8" s="168">
        <f>+F8-SUM(B8:D8)</f>
        <v>31849</v>
      </c>
      <c r="F8" s="168">
        <v>142968</v>
      </c>
      <c r="G8" s="168">
        <v>51331</v>
      </c>
      <c r="H8" s="168">
        <v>49068</v>
      </c>
      <c r="I8" s="168">
        <v>43876</v>
      </c>
      <c r="J8" s="168">
        <f>+K8-SUM(G8:I8)</f>
        <v>40283</v>
      </c>
      <c r="K8" s="168">
        <v>184558</v>
      </c>
      <c r="L8" s="168">
        <v>48763</v>
      </c>
      <c r="M8" s="168">
        <v>45825</v>
      </c>
      <c r="N8" s="168">
        <v>53037</v>
      </c>
      <c r="O8" s="168">
        <f>P8-SUM(L8:N8)</f>
        <v>50672</v>
      </c>
      <c r="P8" s="168">
        <v>198297</v>
      </c>
      <c r="Q8" s="168">
        <v>66561</v>
      </c>
      <c r="R8" s="168">
        <v>66051</v>
      </c>
      <c r="S8" s="168">
        <v>58161</v>
      </c>
      <c r="T8" s="168">
        <f>U8-SUM(Q8:S8)</f>
        <v>60246</v>
      </c>
      <c r="U8" s="168">
        <v>251019</v>
      </c>
      <c r="V8" s="168">
        <v>67081</v>
      </c>
      <c r="W8" s="168">
        <v>64511</v>
      </c>
      <c r="X8" s="168">
        <v>68771</v>
      </c>
    </row>
    <row r="9" spans="1:49" x14ac:dyDescent="0.25">
      <c r="A9" s="19" t="s">
        <v>33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</row>
    <row r="10" spans="1:49" x14ac:dyDescent="0.25">
      <c r="A10" s="27" t="s">
        <v>98</v>
      </c>
      <c r="B10" s="83">
        <v>13669</v>
      </c>
      <c r="C10" s="83">
        <v>14070</v>
      </c>
      <c r="D10" s="83">
        <v>14254</v>
      </c>
      <c r="E10" s="83">
        <f t="shared" ref="E10:E14" si="0">+F10-SUM(B10:D10)</f>
        <v>14109</v>
      </c>
      <c r="F10" s="83">
        <v>56102</v>
      </c>
      <c r="G10" s="83">
        <v>13408</v>
      </c>
      <c r="H10" s="83">
        <v>13056</v>
      </c>
      <c r="I10" s="83">
        <v>11546</v>
      </c>
      <c r="J10" s="83">
        <f t="shared" ref="J10:J14" si="1">+K10-SUM(G10:I10)</f>
        <v>12270</v>
      </c>
      <c r="K10" s="83">
        <v>50280</v>
      </c>
      <c r="L10" s="83">
        <v>12337</v>
      </c>
      <c r="M10" s="83">
        <v>12893</v>
      </c>
      <c r="N10" s="83">
        <v>13838</v>
      </c>
      <c r="O10" s="83">
        <f>P10-SUM(L10:N10)</f>
        <v>16153</v>
      </c>
      <c r="P10" s="83">
        <v>55221</v>
      </c>
      <c r="Q10" s="83">
        <v>13542</v>
      </c>
      <c r="R10" s="83">
        <v>14147</v>
      </c>
      <c r="S10" s="83">
        <v>15188</v>
      </c>
      <c r="T10" s="83">
        <f>U10-SUM(Q10:S10)</f>
        <v>16371</v>
      </c>
      <c r="U10" s="83">
        <v>59248</v>
      </c>
      <c r="V10" s="83">
        <v>13995</v>
      </c>
      <c r="W10" s="83">
        <v>14478</v>
      </c>
      <c r="X10" s="83">
        <v>18660</v>
      </c>
    </row>
    <row r="11" spans="1:49" s="19" customFormat="1" hidden="1" x14ac:dyDescent="0.25">
      <c r="A11" s="27" t="s">
        <v>123</v>
      </c>
      <c r="B11" s="83">
        <v>0</v>
      </c>
      <c r="C11" s="83">
        <v>0</v>
      </c>
      <c r="D11" s="83">
        <v>0</v>
      </c>
      <c r="E11" s="83">
        <f t="shared" si="0"/>
        <v>0</v>
      </c>
      <c r="F11" s="83">
        <v>0</v>
      </c>
      <c r="G11" s="83">
        <v>0</v>
      </c>
      <c r="H11" s="83">
        <v>0</v>
      </c>
      <c r="I11" s="83">
        <v>0</v>
      </c>
      <c r="J11" s="83">
        <f t="shared" si="1"/>
        <v>0</v>
      </c>
      <c r="K11" s="83">
        <v>0</v>
      </c>
      <c r="L11" s="83">
        <v>0</v>
      </c>
      <c r="M11" s="83">
        <v>0</v>
      </c>
      <c r="N11" s="83">
        <v>0</v>
      </c>
      <c r="O11" s="83">
        <f t="shared" ref="O11:O32" si="2">P11-SUM(L11:N11)</f>
        <v>0</v>
      </c>
      <c r="P11" s="83">
        <v>0</v>
      </c>
      <c r="Q11" s="83">
        <v>0</v>
      </c>
      <c r="R11" s="83">
        <v>0</v>
      </c>
      <c r="S11" s="83">
        <v>0</v>
      </c>
      <c r="T11" s="83">
        <f t="shared" ref="T11:T21" si="3">U11-SUM(Q11:S11)</f>
        <v>0</v>
      </c>
      <c r="U11" s="83">
        <f>0</f>
        <v>0</v>
      </c>
      <c r="V11" s="83">
        <v>0</v>
      </c>
      <c r="W11" s="83">
        <v>0</v>
      </c>
      <c r="X11" s="83">
        <v>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s="19" customFormat="1" x14ac:dyDescent="0.25">
      <c r="A12" s="27" t="s">
        <v>127</v>
      </c>
      <c r="B12" s="83">
        <v>11224</v>
      </c>
      <c r="C12" s="83">
        <v>13340</v>
      </c>
      <c r="D12" s="83">
        <v>12186</v>
      </c>
      <c r="E12" s="83">
        <f t="shared" si="0"/>
        <v>12616</v>
      </c>
      <c r="F12" s="83">
        <v>49366</v>
      </c>
      <c r="G12" s="83">
        <v>14407</v>
      </c>
      <c r="H12" s="83">
        <v>11511</v>
      </c>
      <c r="I12" s="83">
        <v>17067</v>
      </c>
      <c r="J12" s="83">
        <f t="shared" si="1"/>
        <v>15452</v>
      </c>
      <c r="K12" s="83">
        <v>58437</v>
      </c>
      <c r="L12" s="83">
        <v>17852</v>
      </c>
      <c r="M12" s="83">
        <v>18095</v>
      </c>
      <c r="N12" s="83">
        <v>21232</v>
      </c>
      <c r="O12" s="83">
        <f t="shared" si="2"/>
        <v>15479</v>
      </c>
      <c r="P12" s="83">
        <v>72658</v>
      </c>
      <c r="Q12" s="83">
        <v>19187</v>
      </c>
      <c r="R12" s="83">
        <v>16392</v>
      </c>
      <c r="S12" s="83">
        <v>23139</v>
      </c>
      <c r="T12" s="83">
        <f t="shared" si="3"/>
        <v>20751</v>
      </c>
      <c r="U12" s="83">
        <v>79469</v>
      </c>
      <c r="V12" s="83">
        <v>22101</v>
      </c>
      <c r="W12" s="83">
        <v>24631</v>
      </c>
      <c r="X12" s="83">
        <v>25542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49" s="19" customFormat="1" hidden="1" x14ac:dyDescent="0.25">
      <c r="A13" s="27" t="s">
        <v>109</v>
      </c>
      <c r="B13" s="83">
        <v>0</v>
      </c>
      <c r="C13" s="83">
        <v>0</v>
      </c>
      <c r="D13" s="83">
        <v>0</v>
      </c>
      <c r="E13" s="83">
        <f t="shared" si="0"/>
        <v>0</v>
      </c>
      <c r="F13" s="83">
        <v>0</v>
      </c>
      <c r="G13" s="83">
        <v>0</v>
      </c>
      <c r="H13" s="83">
        <v>0</v>
      </c>
      <c r="I13" s="83">
        <v>0</v>
      </c>
      <c r="J13" s="83">
        <f t="shared" si="1"/>
        <v>0</v>
      </c>
      <c r="K13" s="83">
        <v>0</v>
      </c>
      <c r="L13" s="83">
        <v>0</v>
      </c>
      <c r="M13" s="83">
        <v>0</v>
      </c>
      <c r="N13" s="83">
        <v>0</v>
      </c>
      <c r="O13" s="83">
        <f t="shared" si="2"/>
        <v>0</v>
      </c>
      <c r="P13" s="83">
        <v>0</v>
      </c>
      <c r="Q13" s="83">
        <v>0</v>
      </c>
      <c r="R13" s="83">
        <v>0</v>
      </c>
      <c r="S13" s="83">
        <v>0</v>
      </c>
      <c r="T13" s="83">
        <f t="shared" si="3"/>
        <v>0</v>
      </c>
      <c r="U13" s="83">
        <f>0</f>
        <v>0</v>
      </c>
      <c r="V13" s="83">
        <v>0</v>
      </c>
      <c r="W13" s="83">
        <v>0</v>
      </c>
      <c r="X13" s="8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49" s="19" customFormat="1" x14ac:dyDescent="0.25">
      <c r="A14" s="27" t="s">
        <v>107</v>
      </c>
      <c r="B14" s="23">
        <v>-114</v>
      </c>
      <c r="C14" s="23">
        <v>-143</v>
      </c>
      <c r="D14" s="23">
        <v>-109</v>
      </c>
      <c r="E14" s="23">
        <f t="shared" si="0"/>
        <v>-68</v>
      </c>
      <c r="F14" s="23">
        <v>-434</v>
      </c>
      <c r="G14" s="23">
        <v>-66</v>
      </c>
      <c r="H14" s="23">
        <v>-66</v>
      </c>
      <c r="I14" s="23">
        <v>-25</v>
      </c>
      <c r="J14" s="23">
        <f t="shared" si="1"/>
        <v>4</v>
      </c>
      <c r="K14" s="23">
        <v>-153</v>
      </c>
      <c r="L14" s="23">
        <v>28</v>
      </c>
      <c r="M14" s="23">
        <v>8</v>
      </c>
      <c r="N14" s="23">
        <v>35</v>
      </c>
      <c r="O14" s="83">
        <f t="shared" si="2"/>
        <v>43</v>
      </c>
      <c r="P14" s="23">
        <v>114</v>
      </c>
      <c r="Q14" s="23">
        <v>109</v>
      </c>
      <c r="R14" s="23">
        <v>141</v>
      </c>
      <c r="S14" s="23">
        <v>80</v>
      </c>
      <c r="T14" s="83">
        <f t="shared" si="3"/>
        <v>-25</v>
      </c>
      <c r="U14" s="83">
        <v>305</v>
      </c>
      <c r="V14" s="23">
        <v>2</v>
      </c>
      <c r="W14" s="83">
        <v>29</v>
      </c>
      <c r="X14" s="83">
        <v>-49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49" s="19" customFormat="1" x14ac:dyDescent="0.25">
      <c r="A15" s="27" t="s">
        <v>122</v>
      </c>
      <c r="B15" s="83">
        <v>-3165</v>
      </c>
      <c r="C15" s="83">
        <v>-7115</v>
      </c>
      <c r="D15" s="83">
        <v>-6533</v>
      </c>
      <c r="E15" s="83">
        <f t="shared" ref="E15:E17" si="4">+F15-SUM(B15:D15)</f>
        <v>170</v>
      </c>
      <c r="F15" s="83">
        <v>-16643</v>
      </c>
      <c r="G15" s="83">
        <v>2814</v>
      </c>
      <c r="H15" s="83">
        <v>-1526</v>
      </c>
      <c r="I15" s="83">
        <v>-2150</v>
      </c>
      <c r="J15" s="83">
        <f t="shared" ref="J15:J17" si="5">+K15-SUM(G15:I15)</f>
        <v>-501</v>
      </c>
      <c r="K15" s="83">
        <v>-1363</v>
      </c>
      <c r="L15" s="83">
        <v>-274</v>
      </c>
      <c r="M15" s="83">
        <v>-2645</v>
      </c>
      <c r="N15" s="83">
        <v>-145</v>
      </c>
      <c r="O15" s="83">
        <f t="shared" si="2"/>
        <v>-2072</v>
      </c>
      <c r="P15" s="83">
        <v>-5136</v>
      </c>
      <c r="Q15" s="83">
        <v>-1270</v>
      </c>
      <c r="R15" s="83">
        <v>-2044</v>
      </c>
      <c r="S15" s="83">
        <v>-7664</v>
      </c>
      <c r="T15" s="83">
        <f t="shared" si="3"/>
        <v>-2970</v>
      </c>
      <c r="U15" s="83">
        <v>-13948</v>
      </c>
      <c r="V15" s="83">
        <v>-11411</v>
      </c>
      <c r="W15" s="83">
        <v>-1</v>
      </c>
      <c r="X15" s="83">
        <v>-3949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s="19" customFormat="1" x14ac:dyDescent="0.25">
      <c r="A16" s="27" t="s">
        <v>147</v>
      </c>
      <c r="B16" s="83">
        <v>-384</v>
      </c>
      <c r="C16" s="83">
        <v>109</v>
      </c>
      <c r="D16" s="83">
        <v>-200</v>
      </c>
      <c r="E16" s="83">
        <f t="shared" si="4"/>
        <v>-734</v>
      </c>
      <c r="F16" s="83">
        <v>-1209</v>
      </c>
      <c r="G16" s="83">
        <v>8186</v>
      </c>
      <c r="H16" s="83">
        <v>-964</v>
      </c>
      <c r="I16" s="83">
        <v>-1219</v>
      </c>
      <c r="J16" s="83">
        <f t="shared" si="5"/>
        <v>11041</v>
      </c>
      <c r="K16" s="83">
        <v>17044</v>
      </c>
      <c r="L16" s="83">
        <v>353</v>
      </c>
      <c r="M16" s="83">
        <v>-654</v>
      </c>
      <c r="N16" s="83">
        <v>-932</v>
      </c>
      <c r="O16" s="83">
        <f t="shared" si="2"/>
        <v>-281</v>
      </c>
      <c r="P16" s="83">
        <v>-1514</v>
      </c>
      <c r="Q16" s="83">
        <v>-84</v>
      </c>
      <c r="R16" s="83">
        <v>-1220</v>
      </c>
      <c r="S16" s="83">
        <v>-1887</v>
      </c>
      <c r="T16" s="83">
        <f t="shared" si="3"/>
        <v>1425</v>
      </c>
      <c r="U16" s="83">
        <v>-1766</v>
      </c>
      <c r="V16" s="83">
        <v>-1502</v>
      </c>
      <c r="W16" s="83">
        <v>-1552</v>
      </c>
      <c r="X16" s="83">
        <v>-1589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s="19" customFormat="1" x14ac:dyDescent="0.25">
      <c r="A17" s="27" t="s">
        <v>86</v>
      </c>
      <c r="B17" s="83">
        <v>-193</v>
      </c>
      <c r="C17" s="83">
        <v>-1269</v>
      </c>
      <c r="D17" s="83">
        <v>-4159</v>
      </c>
      <c r="E17" s="83">
        <f t="shared" si="4"/>
        <v>-13931</v>
      </c>
      <c r="F17" s="83">
        <v>-19552</v>
      </c>
      <c r="G17" s="83">
        <v>-9444</v>
      </c>
      <c r="H17" s="83">
        <v>-8839</v>
      </c>
      <c r="I17" s="83">
        <v>-8272</v>
      </c>
      <c r="J17" s="83">
        <f t="shared" si="5"/>
        <v>-5187</v>
      </c>
      <c r="K17" s="83">
        <v>-31742</v>
      </c>
      <c r="L17" s="83">
        <v>-8680</v>
      </c>
      <c r="M17" s="83">
        <v>-8396</v>
      </c>
      <c r="N17" s="83">
        <v>-8347</v>
      </c>
      <c r="O17" s="83">
        <f t="shared" si="2"/>
        <v>5538</v>
      </c>
      <c r="P17" s="83">
        <v>-19885</v>
      </c>
      <c r="Q17" s="83">
        <v>-7932</v>
      </c>
      <c r="R17" s="83">
        <v>-7673</v>
      </c>
      <c r="S17" s="83">
        <v>9085</v>
      </c>
      <c r="T17" s="83">
        <f t="shared" si="3"/>
        <v>-8543</v>
      </c>
      <c r="U17" s="83">
        <v>-15063</v>
      </c>
      <c r="V17" s="83">
        <v>-2683</v>
      </c>
      <c r="W17" s="83">
        <v>-2247</v>
      </c>
      <c r="X17" s="83">
        <v>-1846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49" s="19" customFormat="1" x14ac:dyDescent="0.25">
      <c r="A18" s="27" t="s">
        <v>121</v>
      </c>
      <c r="B18" s="83">
        <v>34</v>
      </c>
      <c r="C18" s="83">
        <v>136</v>
      </c>
      <c r="D18" s="83">
        <v>7</v>
      </c>
      <c r="E18" s="83">
        <f t="shared" ref="E18:E31" si="6">+F18-SUM(B18:D18)</f>
        <v>506</v>
      </c>
      <c r="F18" s="83">
        <v>683</v>
      </c>
      <c r="G18" s="83">
        <v>342</v>
      </c>
      <c r="H18" s="83">
        <v>137</v>
      </c>
      <c r="I18" s="83">
        <v>1965</v>
      </c>
      <c r="J18" s="83">
        <f t="shared" ref="J18:J31" si="7">+K18-SUM(G18:I18)</f>
        <v>9</v>
      </c>
      <c r="K18" s="83">
        <v>2453</v>
      </c>
      <c r="L18" s="83">
        <v>-240</v>
      </c>
      <c r="M18" s="83">
        <v>202</v>
      </c>
      <c r="N18" s="83">
        <v>343</v>
      </c>
      <c r="O18" s="83">
        <f t="shared" si="2"/>
        <v>-309</v>
      </c>
      <c r="P18" s="83">
        <v>-4</v>
      </c>
      <c r="Q18" s="83">
        <v>1243</v>
      </c>
      <c r="R18" s="83">
        <v>28</v>
      </c>
      <c r="S18" s="83">
        <v>10</v>
      </c>
      <c r="T18" s="83">
        <f t="shared" si="3"/>
        <v>-694</v>
      </c>
      <c r="U18" s="83">
        <v>587</v>
      </c>
      <c r="V18" s="83">
        <v>251</v>
      </c>
      <c r="W18" s="83">
        <v>266</v>
      </c>
      <c r="X18" s="83">
        <v>287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49" ht="12.75" customHeight="1" x14ac:dyDescent="0.25">
      <c r="A19" s="27" t="s">
        <v>124</v>
      </c>
      <c r="B19" s="72">
        <v>0</v>
      </c>
      <c r="C19" s="83">
        <v>1000</v>
      </c>
      <c r="D19" s="83">
        <v>0</v>
      </c>
      <c r="E19" s="83">
        <f t="shared" si="6"/>
        <v>7250</v>
      </c>
      <c r="F19" s="83">
        <v>8250</v>
      </c>
      <c r="G19" s="83">
        <v>0</v>
      </c>
      <c r="H19" s="83">
        <v>0</v>
      </c>
      <c r="I19" s="83">
        <v>2500</v>
      </c>
      <c r="J19" s="83">
        <f t="shared" si="7"/>
        <v>-600</v>
      </c>
      <c r="K19" s="83">
        <v>1900</v>
      </c>
      <c r="L19" s="83">
        <v>-589</v>
      </c>
      <c r="M19" s="83">
        <v>0</v>
      </c>
      <c r="N19" s="83">
        <v>0</v>
      </c>
      <c r="O19" s="83">
        <f t="shared" si="2"/>
        <v>0</v>
      </c>
      <c r="P19" s="83">
        <v>-589</v>
      </c>
      <c r="Q19" s="83">
        <v>0</v>
      </c>
      <c r="R19" s="83">
        <v>0</v>
      </c>
      <c r="S19" s="83">
        <v>0</v>
      </c>
      <c r="T19" s="83">
        <f t="shared" si="3"/>
        <v>2300</v>
      </c>
      <c r="U19" s="83">
        <v>2300</v>
      </c>
      <c r="V19" s="83">
        <v>0</v>
      </c>
      <c r="W19" s="83">
        <v>3000</v>
      </c>
      <c r="X19" s="83">
        <v>0</v>
      </c>
    </row>
    <row r="20" spans="1:49" x14ac:dyDescent="0.25">
      <c r="A20" s="27" t="s">
        <v>143</v>
      </c>
      <c r="B20" s="72">
        <v>6043</v>
      </c>
      <c r="C20" s="72">
        <v>5962</v>
      </c>
      <c r="D20" s="72">
        <v>5360</v>
      </c>
      <c r="E20" s="72">
        <f t="shared" si="6"/>
        <v>4418</v>
      </c>
      <c r="F20" s="83">
        <v>21783</v>
      </c>
      <c r="G20" s="83">
        <v>4883</v>
      </c>
      <c r="H20" s="83">
        <v>5449</v>
      </c>
      <c r="I20" s="83">
        <v>4839</v>
      </c>
      <c r="J20" s="72">
        <f t="shared" si="7"/>
        <v>5017</v>
      </c>
      <c r="K20" s="83">
        <v>20188</v>
      </c>
      <c r="L20" s="83">
        <v>4995</v>
      </c>
      <c r="M20" s="83">
        <v>5354</v>
      </c>
      <c r="N20" s="83">
        <v>5721</v>
      </c>
      <c r="O20" s="83">
        <f t="shared" si="2"/>
        <v>5694</v>
      </c>
      <c r="P20" s="83">
        <v>21764</v>
      </c>
      <c r="Q20" s="83">
        <v>6061</v>
      </c>
      <c r="R20" s="83">
        <v>6428</v>
      </c>
      <c r="S20" s="83">
        <v>5904</v>
      </c>
      <c r="T20" s="83">
        <f t="shared" si="3"/>
        <v>6246</v>
      </c>
      <c r="U20" s="83">
        <v>24639</v>
      </c>
      <c r="V20" s="83">
        <v>6904</v>
      </c>
      <c r="W20" s="83">
        <v>7114</v>
      </c>
      <c r="X20" s="83">
        <v>7419</v>
      </c>
    </row>
    <row r="21" spans="1:49" s="19" customFormat="1" x14ac:dyDescent="0.25">
      <c r="A21" s="27" t="s">
        <v>106</v>
      </c>
      <c r="B21" s="83">
        <v>819</v>
      </c>
      <c r="C21" s="83">
        <v>-36</v>
      </c>
      <c r="D21" s="83">
        <v>823</v>
      </c>
      <c r="E21" s="83">
        <f>+F21-SUM(B21:D21)</f>
        <v>-662</v>
      </c>
      <c r="F21" s="83">
        <v>944</v>
      </c>
      <c r="G21" s="83">
        <v>1226</v>
      </c>
      <c r="H21" s="83">
        <v>108</v>
      </c>
      <c r="I21" s="83">
        <v>207</v>
      </c>
      <c r="J21" s="83">
        <f>+K21-SUM(G21:I21)</f>
        <v>-440</v>
      </c>
      <c r="K21" s="83">
        <v>1101</v>
      </c>
      <c r="L21" s="83">
        <v>348</v>
      </c>
      <c r="M21" s="83">
        <v>173</v>
      </c>
      <c r="N21" s="83">
        <v>-649</v>
      </c>
      <c r="O21" s="83">
        <f t="shared" si="2"/>
        <v>-73</v>
      </c>
      <c r="P21" s="83">
        <v>-201</v>
      </c>
      <c r="Q21" s="83">
        <v>90</v>
      </c>
      <c r="R21" s="83">
        <v>-30</v>
      </c>
      <c r="S21" s="83">
        <v>304</v>
      </c>
      <c r="T21" s="83">
        <f t="shared" si="3"/>
        <v>326</v>
      </c>
      <c r="U21" s="83">
        <v>690</v>
      </c>
      <c r="V21" s="83">
        <v>243</v>
      </c>
      <c r="W21" s="83">
        <v>524</v>
      </c>
      <c r="X21" s="83">
        <v>443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1:49" s="19" customFormat="1" ht="4.5" customHeight="1" x14ac:dyDescent="0.25">
      <c r="A22" s="27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49" s="19" customFormat="1" x14ac:dyDescent="0.25">
      <c r="A23" s="19" t="s">
        <v>160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49" x14ac:dyDescent="0.25">
      <c r="A24" s="27" t="s">
        <v>14</v>
      </c>
      <c r="B24" s="83">
        <v>-45659</v>
      </c>
      <c r="C24" s="83">
        <v>-726</v>
      </c>
      <c r="D24" s="83">
        <v>-21681</v>
      </c>
      <c r="E24" s="83">
        <f t="shared" si="6"/>
        <v>-55</v>
      </c>
      <c r="F24" s="83">
        <v>-68121</v>
      </c>
      <c r="G24" s="83">
        <v>-30896</v>
      </c>
      <c r="H24" s="83">
        <v>2521</v>
      </c>
      <c r="I24" s="83">
        <v>-18113</v>
      </c>
      <c r="J24" s="83">
        <f t="shared" si="7"/>
        <v>-2754</v>
      </c>
      <c r="K24" s="83">
        <v>-49242</v>
      </c>
      <c r="L24" s="83">
        <v>-27578</v>
      </c>
      <c r="M24" s="83">
        <v>7570</v>
      </c>
      <c r="N24" s="83">
        <v>-8892</v>
      </c>
      <c r="O24" s="83">
        <f t="shared" si="2"/>
        <v>33547</v>
      </c>
      <c r="P24" s="83">
        <v>4647</v>
      </c>
      <c r="Q24" s="83">
        <v>-35231</v>
      </c>
      <c r="R24" s="83">
        <v>-3081</v>
      </c>
      <c r="S24" s="83">
        <v>-7083</v>
      </c>
      <c r="T24" s="83">
        <f t="shared" ref="T24:T32" si="8">U24-SUM(Q24:S24)</f>
        <v>9405</v>
      </c>
      <c r="U24" s="83">
        <v>-35990</v>
      </c>
      <c r="V24" s="83">
        <v>-47059</v>
      </c>
      <c r="W24" s="83">
        <v>-46239</v>
      </c>
      <c r="X24" s="83">
        <v>-13488</v>
      </c>
    </row>
    <row r="25" spans="1:49" x14ac:dyDescent="0.25">
      <c r="A25" s="27" t="s">
        <v>116</v>
      </c>
      <c r="B25" s="83">
        <v>-1116</v>
      </c>
      <c r="C25" s="83">
        <v>3977</v>
      </c>
      <c r="D25" s="83">
        <v>-308</v>
      </c>
      <c r="E25" s="83">
        <f t="shared" si="6"/>
        <v>-10262</v>
      </c>
      <c r="F25" s="83">
        <v>-7709</v>
      </c>
      <c r="G25" s="83">
        <v>-6046</v>
      </c>
      <c r="H25" s="83">
        <v>1659</v>
      </c>
      <c r="I25" s="83">
        <v>3975</v>
      </c>
      <c r="J25" s="83">
        <f t="shared" si="7"/>
        <v>-9094</v>
      </c>
      <c r="K25" s="83">
        <v>-9506</v>
      </c>
      <c r="L25" s="83">
        <v>-11394</v>
      </c>
      <c r="M25" s="83">
        <v>1049</v>
      </c>
      <c r="N25" s="83">
        <v>9689</v>
      </c>
      <c r="O25" s="83">
        <f t="shared" si="2"/>
        <v>-37255</v>
      </c>
      <c r="P25" s="83">
        <v>-37911</v>
      </c>
      <c r="Q25" s="83">
        <v>-17923</v>
      </c>
      <c r="R25" s="83">
        <v>12915</v>
      </c>
      <c r="S25" s="83">
        <v>9142</v>
      </c>
      <c r="T25" s="83">
        <f t="shared" si="8"/>
        <v>-4365</v>
      </c>
      <c r="U25" s="83">
        <v>-231</v>
      </c>
      <c r="V25" s="83">
        <v>-17564</v>
      </c>
      <c r="W25" s="83">
        <v>-12207</v>
      </c>
      <c r="X25" s="83">
        <v>10555</v>
      </c>
    </row>
    <row r="26" spans="1:49" x14ac:dyDescent="0.25">
      <c r="A26" s="27" t="s">
        <v>18</v>
      </c>
      <c r="B26" s="83">
        <v>-808</v>
      </c>
      <c r="C26" s="83">
        <v>-299</v>
      </c>
      <c r="D26" s="83">
        <v>-820</v>
      </c>
      <c r="E26" s="83">
        <f t="shared" si="6"/>
        <v>4312</v>
      </c>
      <c r="F26" s="83">
        <v>2385</v>
      </c>
      <c r="G26" s="83">
        <v>-4445</v>
      </c>
      <c r="H26" s="83">
        <v>-351</v>
      </c>
      <c r="I26" s="83">
        <v>172</v>
      </c>
      <c r="J26" s="83">
        <f t="shared" si="7"/>
        <v>1867</v>
      </c>
      <c r="K26" s="83">
        <v>-2757</v>
      </c>
      <c r="L26" s="83">
        <v>-1936</v>
      </c>
      <c r="M26" s="83">
        <v>-131</v>
      </c>
      <c r="N26" s="83">
        <v>935</v>
      </c>
      <c r="O26" s="83">
        <f t="shared" si="2"/>
        <v>1797</v>
      </c>
      <c r="P26" s="83">
        <v>665</v>
      </c>
      <c r="Q26" s="83">
        <v>-229.18027246548957</v>
      </c>
      <c r="R26" s="83">
        <v>284.18027246548957</v>
      </c>
      <c r="S26" s="83">
        <v>887</v>
      </c>
      <c r="T26" s="83">
        <f t="shared" si="8"/>
        <v>-2016</v>
      </c>
      <c r="U26" s="83">
        <v>-1074</v>
      </c>
      <c r="V26" s="83">
        <v>6538</v>
      </c>
      <c r="W26" s="83">
        <v>-4468</v>
      </c>
      <c r="X26" s="83">
        <v>-975</v>
      </c>
    </row>
    <row r="27" spans="1:49" x14ac:dyDescent="0.25">
      <c r="A27" s="27" t="s">
        <v>19</v>
      </c>
      <c r="B27" s="83">
        <v>3707</v>
      </c>
      <c r="C27" s="83">
        <v>569</v>
      </c>
      <c r="D27" s="83">
        <v>-2173</v>
      </c>
      <c r="E27" s="83">
        <f t="shared" si="6"/>
        <v>370</v>
      </c>
      <c r="F27" s="83">
        <v>2473</v>
      </c>
      <c r="G27" s="83">
        <v>2451</v>
      </c>
      <c r="H27" s="83">
        <v>2929</v>
      </c>
      <c r="I27" s="83">
        <v>-3061</v>
      </c>
      <c r="J27" s="83">
        <f t="shared" si="7"/>
        <v>-3196</v>
      </c>
      <c r="K27" s="83">
        <v>-877</v>
      </c>
      <c r="L27" s="83">
        <v>5829</v>
      </c>
      <c r="M27" s="83">
        <v>-2691</v>
      </c>
      <c r="N27" s="83">
        <v>-3103</v>
      </c>
      <c r="O27" s="83">
        <f t="shared" si="2"/>
        <v>6967</v>
      </c>
      <c r="P27" s="83">
        <v>7002</v>
      </c>
      <c r="Q27" s="83">
        <v>753</v>
      </c>
      <c r="R27" s="83">
        <v>1673</v>
      </c>
      <c r="S27" s="83">
        <v>-4410</v>
      </c>
      <c r="T27" s="83">
        <f t="shared" si="8"/>
        <v>-2143</v>
      </c>
      <c r="U27" s="83">
        <v>-4127</v>
      </c>
      <c r="V27" s="83">
        <v>7607</v>
      </c>
      <c r="W27" s="83">
        <v>-304</v>
      </c>
      <c r="X27" s="83">
        <v>-2488</v>
      </c>
    </row>
    <row r="28" spans="1:49" x14ac:dyDescent="0.25">
      <c r="A28" s="27" t="s">
        <v>150</v>
      </c>
      <c r="B28" s="83">
        <v>-44361</v>
      </c>
      <c r="C28" s="83">
        <v>21535</v>
      </c>
      <c r="D28" s="83">
        <v>24733</v>
      </c>
      <c r="E28" s="83">
        <f t="shared" si="6"/>
        <v>18119</v>
      </c>
      <c r="F28" s="83">
        <v>20026</v>
      </c>
      <c r="G28" s="83">
        <v>-30384</v>
      </c>
      <c r="H28" s="83">
        <v>5311</v>
      </c>
      <c r="I28" s="83">
        <v>27519</v>
      </c>
      <c r="J28" s="83">
        <f t="shared" si="7"/>
        <v>21727</v>
      </c>
      <c r="K28" s="83">
        <v>24173</v>
      </c>
      <c r="L28" s="83">
        <v>-53939</v>
      </c>
      <c r="M28" s="83">
        <v>20239</v>
      </c>
      <c r="N28" s="83">
        <v>38574</v>
      </c>
      <c r="O28" s="83">
        <f t="shared" si="2"/>
        <v>36678</v>
      </c>
      <c r="P28" s="83">
        <v>41552</v>
      </c>
      <c r="Q28" s="83">
        <v>-42436.144444058009</v>
      </c>
      <c r="R28" s="83">
        <v>19642.144444058009</v>
      </c>
      <c r="S28" s="83">
        <v>35727</v>
      </c>
      <c r="T28" s="83">
        <f t="shared" si="8"/>
        <v>23901</v>
      </c>
      <c r="U28" s="83">
        <v>36834</v>
      </c>
      <c r="V28" s="83">
        <v>-57328.232797004006</v>
      </c>
      <c r="W28" s="83">
        <v>33561.232797004006</v>
      </c>
      <c r="X28" s="83">
        <v>27585</v>
      </c>
    </row>
    <row r="29" spans="1:49" x14ac:dyDescent="0.25">
      <c r="A29" s="27" t="s">
        <v>99</v>
      </c>
      <c r="B29" s="83">
        <v>6185</v>
      </c>
      <c r="C29" s="83">
        <v>2499</v>
      </c>
      <c r="D29" s="83">
        <v>-4641</v>
      </c>
      <c r="E29" s="83">
        <f t="shared" si="6"/>
        <v>4736</v>
      </c>
      <c r="F29" s="83">
        <v>8779</v>
      </c>
      <c r="G29" s="83">
        <v>7883</v>
      </c>
      <c r="H29" s="83">
        <v>-18493</v>
      </c>
      <c r="I29" s="83">
        <v>-1412</v>
      </c>
      <c r="J29" s="83">
        <f t="shared" si="7"/>
        <v>-6260</v>
      </c>
      <c r="K29" s="83">
        <v>-18282</v>
      </c>
      <c r="L29" s="83">
        <v>11443</v>
      </c>
      <c r="M29" s="83">
        <v>-16365</v>
      </c>
      <c r="N29" s="83">
        <v>-3516</v>
      </c>
      <c r="O29" s="83">
        <f>P29-SUM(L29:N29)</f>
        <v>-17766</v>
      </c>
      <c r="P29" s="83">
        <v>-26204</v>
      </c>
      <c r="Q29" s="83">
        <v>11664</v>
      </c>
      <c r="R29" s="83">
        <v>-7462</v>
      </c>
      <c r="S29" s="83">
        <v>-5162</v>
      </c>
      <c r="T29" s="83">
        <f t="shared" si="8"/>
        <v>-651</v>
      </c>
      <c r="U29" s="83">
        <v>-1611</v>
      </c>
      <c r="V29" s="83">
        <v>20261</v>
      </c>
      <c r="W29" s="83">
        <v>11131</v>
      </c>
      <c r="X29" s="83">
        <v>-8075</v>
      </c>
    </row>
    <row r="30" spans="1:49" x14ac:dyDescent="0.25">
      <c r="A30" s="27" t="s">
        <v>22</v>
      </c>
      <c r="B30" s="83">
        <v>-2924</v>
      </c>
      <c r="C30" s="83">
        <v>-3660</v>
      </c>
      <c r="D30" s="83">
        <v>-1844</v>
      </c>
      <c r="E30" s="83">
        <f t="shared" si="6"/>
        <v>-2295</v>
      </c>
      <c r="F30" s="83">
        <v>-10723</v>
      </c>
      <c r="G30" s="83">
        <v>-4172</v>
      </c>
      <c r="H30" s="83">
        <v>-8600</v>
      </c>
      <c r="I30" s="83">
        <v>-6020</v>
      </c>
      <c r="J30" s="83">
        <f t="shared" si="7"/>
        <v>3959</v>
      </c>
      <c r="K30" s="83">
        <v>-14833</v>
      </c>
      <c r="L30" s="83">
        <v>-3575</v>
      </c>
      <c r="M30" s="83">
        <v>-587</v>
      </c>
      <c r="N30" s="83">
        <v>-2143</v>
      </c>
      <c r="O30" s="83">
        <f t="shared" si="2"/>
        <v>-4157</v>
      </c>
      <c r="P30" s="83">
        <v>-10462</v>
      </c>
      <c r="Q30" s="83">
        <v>-5021.9913428310001</v>
      </c>
      <c r="R30" s="83">
        <v>-404.00865716899989</v>
      </c>
      <c r="S30" s="83">
        <v>-4060</v>
      </c>
      <c r="T30" s="83">
        <f t="shared" si="8"/>
        <v>3845</v>
      </c>
      <c r="U30" s="83">
        <v>-5641</v>
      </c>
      <c r="V30" s="83">
        <v>266.94652247199895</v>
      </c>
      <c r="W30" s="83">
        <v>1723.0534775280012</v>
      </c>
      <c r="X30" s="83">
        <v>-787.00000000000011</v>
      </c>
    </row>
    <row r="31" spans="1:49" x14ac:dyDescent="0.25">
      <c r="A31" s="27" t="s">
        <v>97</v>
      </c>
      <c r="B31" s="83">
        <v>-6005</v>
      </c>
      <c r="C31" s="83">
        <v>-5917</v>
      </c>
      <c r="D31" s="83">
        <v>-5909</v>
      </c>
      <c r="E31" s="83">
        <f t="shared" si="6"/>
        <v>-5396</v>
      </c>
      <c r="F31" s="83">
        <v>-23227</v>
      </c>
      <c r="G31" s="83">
        <v>-5453</v>
      </c>
      <c r="H31" s="83">
        <v>-5376</v>
      </c>
      <c r="I31" s="83">
        <v>-4793</v>
      </c>
      <c r="J31" s="83">
        <f t="shared" si="7"/>
        <v>-4559</v>
      </c>
      <c r="K31" s="83">
        <v>-20181</v>
      </c>
      <c r="L31" s="83">
        <v>-4616</v>
      </c>
      <c r="M31" s="107">
        <v>-5029</v>
      </c>
      <c r="N31" s="107">
        <v>-5535</v>
      </c>
      <c r="O31" s="83">
        <f t="shared" si="2"/>
        <v>-5309</v>
      </c>
      <c r="P31" s="83">
        <v>-20489</v>
      </c>
      <c r="Q31" s="83">
        <v>-5840</v>
      </c>
      <c r="R31" s="83">
        <v>-6410</v>
      </c>
      <c r="S31" s="83">
        <v>-6645</v>
      </c>
      <c r="T31" s="83">
        <f t="shared" si="8"/>
        <v>-6028</v>
      </c>
      <c r="U31" s="83">
        <v>-24923</v>
      </c>
      <c r="V31" s="83">
        <v>-5984</v>
      </c>
      <c r="W31" s="83">
        <v>-6058</v>
      </c>
      <c r="X31" s="83">
        <v>-6823</v>
      </c>
    </row>
    <row r="32" spans="1:49" x14ac:dyDescent="0.25">
      <c r="A32" s="27" t="s">
        <v>136</v>
      </c>
      <c r="B32" s="83">
        <v>0</v>
      </c>
      <c r="C32" s="83">
        <v>0</v>
      </c>
      <c r="D32" s="83">
        <v>0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3">
        <v>-11000</v>
      </c>
      <c r="M32" s="83">
        <v>0</v>
      </c>
      <c r="N32" s="83">
        <v>0</v>
      </c>
      <c r="O32" s="83">
        <f t="shared" si="2"/>
        <v>0</v>
      </c>
      <c r="P32" s="83">
        <v>-11000</v>
      </c>
      <c r="Q32" s="83">
        <v>0</v>
      </c>
      <c r="R32" s="83">
        <v>0</v>
      </c>
      <c r="S32" s="83">
        <v>0</v>
      </c>
      <c r="T32" s="83">
        <f t="shared" si="8"/>
        <v>0</v>
      </c>
      <c r="U32" s="83">
        <v>0</v>
      </c>
      <c r="V32" s="83">
        <v>0</v>
      </c>
      <c r="W32" s="83">
        <v>0</v>
      </c>
      <c r="X32" s="83">
        <v>0</v>
      </c>
    </row>
    <row r="33" spans="1:192" ht="13" x14ac:dyDescent="0.3">
      <c r="A33" s="119" t="s">
        <v>221</v>
      </c>
      <c r="B33" s="183">
        <f t="shared" ref="B33:U33" si="9">SUM(B8:B32)</f>
        <v>-26870</v>
      </c>
      <c r="C33" s="183">
        <f t="shared" si="9"/>
        <v>79878</v>
      </c>
      <c r="D33" s="183">
        <f t="shared" si="9"/>
        <v>48081</v>
      </c>
      <c r="E33" s="183">
        <f t="shared" si="9"/>
        <v>65052</v>
      </c>
      <c r="F33" s="183">
        <f t="shared" si="9"/>
        <v>166141</v>
      </c>
      <c r="G33" s="183">
        <f t="shared" si="9"/>
        <v>16025</v>
      </c>
      <c r="H33" s="183">
        <f t="shared" si="9"/>
        <v>47534</v>
      </c>
      <c r="I33" s="183">
        <f t="shared" si="9"/>
        <v>68601</v>
      </c>
      <c r="J33" s="183">
        <f t="shared" si="9"/>
        <v>79038</v>
      </c>
      <c r="K33" s="183">
        <f t="shared" si="9"/>
        <v>211198</v>
      </c>
      <c r="L33" s="183">
        <f t="shared" si="9"/>
        <v>-21873</v>
      </c>
      <c r="M33" s="183">
        <f t="shared" si="9"/>
        <v>74910</v>
      </c>
      <c r="N33" s="183">
        <f t="shared" si="9"/>
        <v>110142</v>
      </c>
      <c r="O33" s="183">
        <f t="shared" si="9"/>
        <v>105346</v>
      </c>
      <c r="P33" s="183">
        <f t="shared" si="9"/>
        <v>268525</v>
      </c>
      <c r="Q33" s="183">
        <f t="shared" si="9"/>
        <v>3242.6839406455001</v>
      </c>
      <c r="R33" s="183">
        <f t="shared" si="9"/>
        <v>109377.31605935449</v>
      </c>
      <c r="S33" s="183">
        <f t="shared" si="9"/>
        <v>120716</v>
      </c>
      <c r="T33" s="183">
        <f t="shared" si="9"/>
        <v>117381</v>
      </c>
      <c r="U33" s="183">
        <f t="shared" si="9"/>
        <v>350717</v>
      </c>
      <c r="V33" s="183">
        <f t="shared" ref="V33:W33" si="10">SUM(V8:V32)</f>
        <v>1718.7137254679928</v>
      </c>
      <c r="W33" s="183">
        <f t="shared" si="10"/>
        <v>87892.286274532002</v>
      </c>
      <c r="X33" s="183">
        <f t="shared" ref="X33" si="11">SUM(X8:X32)</f>
        <v>119193</v>
      </c>
      <c r="Y33" s="114"/>
      <c r="Z33" s="114"/>
      <c r="AA33" s="114"/>
      <c r="AB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4"/>
      <c r="CL33" s="114"/>
      <c r="CM33" s="114"/>
      <c r="CN33" s="114"/>
      <c r="CO33" s="114"/>
      <c r="CP33" s="114"/>
      <c r="CQ33" s="114"/>
      <c r="CR33" s="114"/>
      <c r="CS33" s="114"/>
      <c r="CT33" s="114"/>
      <c r="CU33" s="114"/>
      <c r="CV33" s="114"/>
      <c r="CW33" s="114"/>
      <c r="CX33" s="114"/>
      <c r="CY33" s="114"/>
      <c r="CZ33" s="114"/>
      <c r="DA33" s="114"/>
      <c r="DB33" s="114"/>
      <c r="DC33" s="114"/>
      <c r="DD33" s="114"/>
      <c r="DE33" s="114"/>
      <c r="DF33" s="114"/>
      <c r="DG33" s="114"/>
      <c r="DH33" s="114"/>
      <c r="DI33" s="114"/>
      <c r="DJ33" s="114"/>
      <c r="DK33" s="114"/>
      <c r="DL33" s="114"/>
      <c r="DM33" s="114"/>
      <c r="DN33" s="114"/>
      <c r="DO33" s="114"/>
      <c r="DP33" s="114"/>
      <c r="DQ33" s="114"/>
      <c r="DR33" s="114"/>
      <c r="DS33" s="114"/>
      <c r="DT33" s="114"/>
      <c r="DU33" s="114"/>
      <c r="DV33" s="114"/>
      <c r="DW33" s="114"/>
      <c r="DX33" s="114"/>
      <c r="DY33" s="114"/>
      <c r="DZ33" s="114"/>
      <c r="EA33" s="114"/>
      <c r="EB33" s="114"/>
      <c r="EC33" s="114"/>
      <c r="ED33" s="114"/>
      <c r="EE33" s="114"/>
      <c r="EF33" s="114"/>
      <c r="EG33" s="114"/>
      <c r="EH33" s="114"/>
      <c r="EI33" s="114"/>
      <c r="EJ33" s="114"/>
      <c r="EK33" s="114"/>
      <c r="EL33" s="114"/>
      <c r="EM33" s="114"/>
      <c r="EN33" s="114"/>
      <c r="EO33" s="114"/>
      <c r="EP33" s="114"/>
      <c r="EQ33" s="114"/>
      <c r="ER33" s="114"/>
      <c r="ES33" s="114"/>
      <c r="ET33" s="114"/>
      <c r="EU33" s="114"/>
      <c r="EV33" s="114"/>
      <c r="EW33" s="114"/>
      <c r="EX33" s="114"/>
      <c r="EY33" s="114"/>
      <c r="EZ33" s="114"/>
      <c r="FA33" s="114"/>
      <c r="FB33" s="114"/>
      <c r="FC33" s="114"/>
      <c r="FD33" s="114"/>
      <c r="FE33" s="114"/>
      <c r="FF33" s="114"/>
      <c r="FG33" s="114"/>
      <c r="FH33" s="114"/>
      <c r="FI33" s="114"/>
      <c r="FJ33" s="114"/>
      <c r="FK33" s="114"/>
      <c r="FL33" s="114"/>
      <c r="FM33" s="114"/>
      <c r="FN33" s="114"/>
      <c r="FO33" s="114"/>
      <c r="FP33" s="114"/>
      <c r="FQ33" s="114"/>
      <c r="FR33" s="114"/>
      <c r="FS33" s="114"/>
      <c r="FT33" s="114"/>
      <c r="FU33" s="114"/>
      <c r="FV33" s="114"/>
      <c r="FW33" s="114"/>
      <c r="FX33" s="114"/>
      <c r="FY33" s="114"/>
      <c r="FZ33" s="114"/>
      <c r="GA33" s="114"/>
      <c r="GB33" s="114"/>
      <c r="GC33" s="114"/>
      <c r="GD33" s="114"/>
      <c r="GE33" s="114"/>
      <c r="GF33" s="114"/>
      <c r="GG33" s="114"/>
      <c r="GH33" s="114"/>
      <c r="GI33" s="114"/>
      <c r="GJ33" s="114"/>
    </row>
    <row r="34" spans="1:192" x14ac:dyDescent="0.25">
      <c r="A34" s="12" t="s">
        <v>15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</row>
    <row r="35" spans="1:192" ht="13" x14ac:dyDescent="0.3">
      <c r="A35" s="9" t="s">
        <v>54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</row>
    <row r="36" spans="1:192" x14ac:dyDescent="0.25">
      <c r="A36" s="10" t="s">
        <v>87</v>
      </c>
      <c r="B36" s="83">
        <v>-16101</v>
      </c>
      <c r="C36" s="83">
        <v>-8953</v>
      </c>
      <c r="D36" s="83">
        <v>-7045</v>
      </c>
      <c r="E36" s="83">
        <f t="shared" ref="E36:E41" si="12">+F36-SUM(B36:D36)</f>
        <v>-12737</v>
      </c>
      <c r="F36" s="83">
        <v>-44836</v>
      </c>
      <c r="G36" s="83">
        <v>-12479</v>
      </c>
      <c r="H36" s="83">
        <v>-13634</v>
      </c>
      <c r="I36" s="83">
        <v>-14993</v>
      </c>
      <c r="J36" s="83">
        <f t="shared" ref="J36:J41" si="13">+K36-SUM(G36:I36)</f>
        <v>-11697</v>
      </c>
      <c r="K36" s="83">
        <v>-52803</v>
      </c>
      <c r="L36" s="83">
        <v>-11266</v>
      </c>
      <c r="M36" s="83">
        <v>-12063</v>
      </c>
      <c r="N36" s="83">
        <v>-12859</v>
      </c>
      <c r="O36" s="83">
        <f t="shared" ref="O36:O41" si="14">P36-SUM(L36:N36)</f>
        <v>-10074</v>
      </c>
      <c r="P36" s="83">
        <v>-46262</v>
      </c>
      <c r="Q36" s="83">
        <v>-12940</v>
      </c>
      <c r="R36" s="83">
        <v>-14426</v>
      </c>
      <c r="S36" s="83">
        <v>-14361</v>
      </c>
      <c r="T36" s="83">
        <f t="shared" ref="T36:T41" si="15">U36-SUM(Q36:S36)</f>
        <v>-10871</v>
      </c>
      <c r="U36" s="83">
        <v>-52598</v>
      </c>
      <c r="V36" s="83">
        <v>-12933</v>
      </c>
      <c r="W36" s="83">
        <v>-14507</v>
      </c>
      <c r="X36" s="83">
        <v>-16685</v>
      </c>
    </row>
    <row r="37" spans="1:192" x14ac:dyDescent="0.25">
      <c r="A37" s="10" t="s">
        <v>105</v>
      </c>
      <c r="B37" s="83">
        <v>63</v>
      </c>
      <c r="C37" s="83">
        <v>91</v>
      </c>
      <c r="D37" s="83">
        <v>43</v>
      </c>
      <c r="E37" s="83">
        <f t="shared" si="12"/>
        <v>69</v>
      </c>
      <c r="F37" s="83">
        <v>266</v>
      </c>
      <c r="G37" s="83">
        <v>565</v>
      </c>
      <c r="H37" s="83">
        <v>-18</v>
      </c>
      <c r="I37" s="83">
        <v>93</v>
      </c>
      <c r="J37" s="83">
        <f t="shared" si="13"/>
        <v>99</v>
      </c>
      <c r="K37" s="83">
        <v>739</v>
      </c>
      <c r="L37" s="83">
        <v>62</v>
      </c>
      <c r="M37" s="83">
        <v>28</v>
      </c>
      <c r="N37" s="83">
        <v>82</v>
      </c>
      <c r="O37" s="83">
        <f t="shared" si="14"/>
        <v>43</v>
      </c>
      <c r="P37" s="83">
        <v>215</v>
      </c>
      <c r="Q37" s="83">
        <v>95</v>
      </c>
      <c r="R37" s="83">
        <v>85</v>
      </c>
      <c r="S37" s="83">
        <v>135</v>
      </c>
      <c r="T37" s="83">
        <f t="shared" si="15"/>
        <v>36</v>
      </c>
      <c r="U37" s="83">
        <v>351</v>
      </c>
      <c r="V37" s="83">
        <v>121</v>
      </c>
      <c r="W37" s="83">
        <v>45</v>
      </c>
      <c r="X37" s="83">
        <v>94</v>
      </c>
    </row>
    <row r="38" spans="1:192" x14ac:dyDescent="0.25">
      <c r="A38" s="10" t="s">
        <v>84</v>
      </c>
      <c r="B38" s="83">
        <v>0</v>
      </c>
      <c r="C38" s="83">
        <v>0</v>
      </c>
      <c r="D38" s="83">
        <v>0</v>
      </c>
      <c r="E38" s="83">
        <f t="shared" si="12"/>
        <v>0</v>
      </c>
      <c r="F38" s="83">
        <v>0</v>
      </c>
      <c r="G38" s="83">
        <v>0</v>
      </c>
      <c r="H38" s="83">
        <v>0</v>
      </c>
      <c r="I38" s="83">
        <v>-600</v>
      </c>
      <c r="J38" s="83">
        <f t="shared" si="13"/>
        <v>0</v>
      </c>
      <c r="K38" s="83">
        <v>-600</v>
      </c>
      <c r="L38" s="83">
        <v>0</v>
      </c>
      <c r="M38" s="83">
        <v>0</v>
      </c>
      <c r="N38" s="83">
        <v>-600</v>
      </c>
      <c r="O38" s="83">
        <f t="shared" si="14"/>
        <v>0</v>
      </c>
      <c r="P38" s="83">
        <v>-600</v>
      </c>
      <c r="Q38" s="83">
        <v>-600</v>
      </c>
      <c r="R38" s="83">
        <v>0</v>
      </c>
      <c r="S38" s="83">
        <v>-574</v>
      </c>
      <c r="T38" s="83">
        <f t="shared" si="15"/>
        <v>0</v>
      </c>
      <c r="U38" s="83">
        <v>-1174</v>
      </c>
      <c r="V38" s="83">
        <v>0</v>
      </c>
      <c r="W38" s="83">
        <v>-600</v>
      </c>
      <c r="X38" s="83">
        <v>0</v>
      </c>
    </row>
    <row r="39" spans="1:192" x14ac:dyDescent="0.25">
      <c r="A39" s="10" t="s">
        <v>128</v>
      </c>
      <c r="B39" s="83">
        <v>-1367</v>
      </c>
      <c r="C39" s="83">
        <v>-1205</v>
      </c>
      <c r="D39" s="83">
        <v>-750</v>
      </c>
      <c r="E39" s="83">
        <f t="shared" si="12"/>
        <v>-550</v>
      </c>
      <c r="F39" s="83">
        <v>-3872</v>
      </c>
      <c r="G39" s="83">
        <v>0</v>
      </c>
      <c r="H39" s="83">
        <v>0</v>
      </c>
      <c r="I39" s="83">
        <v>0</v>
      </c>
      <c r="J39" s="83">
        <f t="shared" si="13"/>
        <v>0</v>
      </c>
      <c r="K39" s="83">
        <v>0</v>
      </c>
      <c r="L39" s="83">
        <v>0</v>
      </c>
      <c r="M39" s="83"/>
      <c r="N39" s="83">
        <v>-24466</v>
      </c>
      <c r="O39" s="83">
        <f t="shared" si="14"/>
        <v>167</v>
      </c>
      <c r="P39" s="83">
        <v>-24299</v>
      </c>
      <c r="Q39" s="83">
        <v>0</v>
      </c>
      <c r="R39" s="83">
        <v>0</v>
      </c>
      <c r="S39" s="83">
        <v>0</v>
      </c>
      <c r="T39" s="83">
        <f t="shared" si="15"/>
        <v>0</v>
      </c>
      <c r="U39" s="83">
        <v>0</v>
      </c>
      <c r="V39" s="83">
        <v>0</v>
      </c>
      <c r="W39" s="83">
        <v>0</v>
      </c>
      <c r="X39" s="83">
        <v>-153838</v>
      </c>
    </row>
    <row r="40" spans="1:192" x14ac:dyDescent="0.25">
      <c r="A40" s="10" t="s">
        <v>117</v>
      </c>
      <c r="B40" s="83">
        <v>-36804</v>
      </c>
      <c r="C40" s="83">
        <v>-59278</v>
      </c>
      <c r="D40" s="83">
        <v>-68231</v>
      </c>
      <c r="E40" s="83">
        <f t="shared" si="12"/>
        <v>-48294</v>
      </c>
      <c r="F40" s="83">
        <v>-212607</v>
      </c>
      <c r="G40" s="83">
        <v>-51495</v>
      </c>
      <c r="H40" s="83">
        <v>-62328</v>
      </c>
      <c r="I40" s="83">
        <v>-51198</v>
      </c>
      <c r="J40" s="83">
        <f t="shared" si="13"/>
        <v>-70348</v>
      </c>
      <c r="K40" s="83">
        <v>-235369</v>
      </c>
      <c r="L40" s="83">
        <v>-64932</v>
      </c>
      <c r="M40" s="83">
        <v>-93556.639479999998</v>
      </c>
      <c r="N40" s="83">
        <v>-67066.360519999987</v>
      </c>
      <c r="O40" s="83">
        <f t="shared" si="14"/>
        <v>-63457</v>
      </c>
      <c r="P40" s="83">
        <v>-289012</v>
      </c>
      <c r="Q40" s="83">
        <v>-90185</v>
      </c>
      <c r="R40" s="83">
        <v>-54750</v>
      </c>
      <c r="S40" s="83">
        <v>-102354</v>
      </c>
      <c r="T40" s="83">
        <f t="shared" si="15"/>
        <v>-66222</v>
      </c>
      <c r="U40" s="83">
        <v>-313511</v>
      </c>
      <c r="V40" s="83">
        <v>-44942</v>
      </c>
      <c r="W40" s="83">
        <v>-92369</v>
      </c>
      <c r="X40" s="83">
        <v>-67779</v>
      </c>
    </row>
    <row r="41" spans="1:192" x14ac:dyDescent="0.25">
      <c r="A41" s="10" t="s">
        <v>118</v>
      </c>
      <c r="B41" s="83">
        <v>49515</v>
      </c>
      <c r="C41" s="83">
        <v>33052</v>
      </c>
      <c r="D41" s="83">
        <v>41788</v>
      </c>
      <c r="E41" s="83">
        <f t="shared" si="12"/>
        <v>40148</v>
      </c>
      <c r="F41" s="83">
        <v>164503</v>
      </c>
      <c r="G41" s="83">
        <v>106750</v>
      </c>
      <c r="H41" s="83">
        <v>44428</v>
      </c>
      <c r="I41" s="83">
        <v>66347</v>
      </c>
      <c r="J41" s="83">
        <f t="shared" si="13"/>
        <v>58511</v>
      </c>
      <c r="K41" s="83">
        <v>276036</v>
      </c>
      <c r="L41" s="83">
        <v>80825</v>
      </c>
      <c r="M41" s="83">
        <v>59019</v>
      </c>
      <c r="N41" s="83">
        <v>52318</v>
      </c>
      <c r="O41" s="83">
        <f t="shared" si="14"/>
        <v>48697</v>
      </c>
      <c r="P41" s="83">
        <v>240859</v>
      </c>
      <c r="Q41" s="83">
        <v>81362</v>
      </c>
      <c r="R41" s="83">
        <v>55072</v>
      </c>
      <c r="S41" s="83">
        <v>70832</v>
      </c>
      <c r="T41" s="83">
        <f t="shared" si="15"/>
        <v>110406</v>
      </c>
      <c r="U41" s="83">
        <v>317672</v>
      </c>
      <c r="V41" s="83">
        <v>101779</v>
      </c>
      <c r="W41" s="83">
        <v>57220</v>
      </c>
      <c r="X41" s="83">
        <v>45648</v>
      </c>
    </row>
    <row r="42" spans="1:192" ht="13" x14ac:dyDescent="0.3">
      <c r="A42" s="119" t="s">
        <v>215</v>
      </c>
      <c r="B42" s="183">
        <f t="shared" ref="B42:U42" si="16">SUM(B36:B41)</f>
        <v>-4694</v>
      </c>
      <c r="C42" s="183">
        <f t="shared" si="16"/>
        <v>-36293</v>
      </c>
      <c r="D42" s="183">
        <f t="shared" si="16"/>
        <v>-34195</v>
      </c>
      <c r="E42" s="183">
        <f t="shared" si="16"/>
        <v>-21364</v>
      </c>
      <c r="F42" s="183">
        <f t="shared" si="16"/>
        <v>-96546</v>
      </c>
      <c r="G42" s="183">
        <f t="shared" si="16"/>
        <v>43341</v>
      </c>
      <c r="H42" s="183">
        <f t="shared" si="16"/>
        <v>-31552</v>
      </c>
      <c r="I42" s="183">
        <f t="shared" si="16"/>
        <v>-351</v>
      </c>
      <c r="J42" s="183">
        <f t="shared" si="16"/>
        <v>-23435</v>
      </c>
      <c r="K42" s="183">
        <f t="shared" si="16"/>
        <v>-11997</v>
      </c>
      <c r="L42" s="183">
        <f t="shared" si="16"/>
        <v>4689</v>
      </c>
      <c r="M42" s="183">
        <f t="shared" si="16"/>
        <v>-46572.639479999998</v>
      </c>
      <c r="N42" s="183">
        <f t="shared" si="16"/>
        <v>-52591.360519999987</v>
      </c>
      <c r="O42" s="183">
        <f t="shared" si="16"/>
        <v>-24624</v>
      </c>
      <c r="P42" s="183">
        <f t="shared" si="16"/>
        <v>-119099</v>
      </c>
      <c r="Q42" s="183">
        <f t="shared" si="16"/>
        <v>-22268</v>
      </c>
      <c r="R42" s="183">
        <f t="shared" si="16"/>
        <v>-14019</v>
      </c>
      <c r="S42" s="183">
        <f t="shared" si="16"/>
        <v>-46322</v>
      </c>
      <c r="T42" s="183">
        <f t="shared" si="16"/>
        <v>33349</v>
      </c>
      <c r="U42" s="183">
        <f t="shared" si="16"/>
        <v>-49260</v>
      </c>
      <c r="V42" s="183">
        <f t="shared" ref="V42:W42" si="17">SUM(V36:V41)</f>
        <v>44025</v>
      </c>
      <c r="W42" s="183">
        <f t="shared" si="17"/>
        <v>-50211</v>
      </c>
      <c r="X42" s="183">
        <f t="shared" ref="X42" si="18">SUM(X36:X41)</f>
        <v>-192560</v>
      </c>
      <c r="Y42" s="114"/>
      <c r="Z42" s="114"/>
      <c r="AA42" s="114"/>
      <c r="AB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  <c r="CQ42" s="114"/>
      <c r="CR42" s="114"/>
      <c r="CS42" s="114"/>
      <c r="CT42" s="114"/>
      <c r="CU42" s="114"/>
      <c r="CV42" s="114"/>
      <c r="CW42" s="114"/>
      <c r="CX42" s="114"/>
      <c r="CY42" s="114"/>
      <c r="CZ42" s="114"/>
      <c r="DA42" s="114"/>
      <c r="DB42" s="114"/>
      <c r="DC42" s="114"/>
      <c r="DD42" s="114"/>
      <c r="DE42" s="114"/>
      <c r="DF42" s="114"/>
      <c r="DG42" s="114"/>
      <c r="DH42" s="114"/>
      <c r="DI42" s="114"/>
      <c r="DJ42" s="114"/>
      <c r="DK42" s="114"/>
      <c r="DL42" s="114"/>
      <c r="DM42" s="114"/>
      <c r="DN42" s="114"/>
      <c r="DO42" s="114"/>
      <c r="DP42" s="114"/>
      <c r="DQ42" s="114"/>
      <c r="DR42" s="114"/>
      <c r="DS42" s="114"/>
      <c r="DT42" s="114"/>
      <c r="DU42" s="114"/>
      <c r="DV42" s="114"/>
      <c r="DW42" s="114"/>
      <c r="DX42" s="114"/>
      <c r="DY42" s="114"/>
      <c r="DZ42" s="114"/>
      <c r="EA42" s="114"/>
      <c r="EB42" s="114"/>
      <c r="EC42" s="114"/>
      <c r="ED42" s="114"/>
      <c r="EE42" s="114"/>
      <c r="EF42" s="114"/>
      <c r="EG42" s="114"/>
      <c r="EH42" s="114"/>
      <c r="EI42" s="114"/>
      <c r="EJ42" s="114"/>
      <c r="EK42" s="114"/>
      <c r="EL42" s="114"/>
      <c r="EM42" s="114"/>
      <c r="EN42" s="114"/>
      <c r="EO42" s="114"/>
      <c r="EP42" s="114"/>
      <c r="EQ42" s="114"/>
      <c r="ER42" s="114"/>
      <c r="ES42" s="114"/>
      <c r="ET42" s="114"/>
      <c r="EU42" s="114"/>
      <c r="EV42" s="114"/>
      <c r="EW42" s="114"/>
      <c r="EX42" s="114"/>
      <c r="EY42" s="114"/>
      <c r="EZ42" s="114"/>
      <c r="FA42" s="114"/>
      <c r="FB42" s="114"/>
      <c r="FC42" s="114"/>
      <c r="FD42" s="114"/>
      <c r="FE42" s="114"/>
      <c r="FF42" s="114"/>
      <c r="FG42" s="114"/>
      <c r="FH42" s="114"/>
      <c r="FI42" s="114"/>
      <c r="FJ42" s="114"/>
      <c r="FK42" s="114"/>
      <c r="FL42" s="114"/>
      <c r="FM42" s="114"/>
      <c r="FN42" s="114"/>
      <c r="FO42" s="114"/>
      <c r="FP42" s="114"/>
      <c r="FQ42" s="114"/>
      <c r="FR42" s="114"/>
      <c r="FS42" s="114"/>
      <c r="FT42" s="114"/>
      <c r="FU42" s="114"/>
      <c r="FV42" s="114"/>
      <c r="FW42" s="114"/>
      <c r="FX42" s="114"/>
      <c r="FY42" s="114"/>
      <c r="FZ42" s="114"/>
      <c r="GA42" s="114"/>
      <c r="GB42" s="114"/>
      <c r="GC42" s="114"/>
      <c r="GD42" s="114"/>
      <c r="GE42" s="114"/>
      <c r="GF42" s="114"/>
      <c r="GG42" s="114"/>
      <c r="GH42" s="114"/>
      <c r="GI42" s="114"/>
      <c r="GJ42" s="114"/>
    </row>
    <row r="43" spans="1:192" x14ac:dyDescent="0.25">
      <c r="A43" s="12" t="s">
        <v>15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</row>
    <row r="44" spans="1:192" ht="13" x14ac:dyDescent="0.3">
      <c r="A44" s="9" t="s">
        <v>55</v>
      </c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</row>
    <row r="45" spans="1:192" x14ac:dyDescent="0.25">
      <c r="A45" s="10" t="s">
        <v>88</v>
      </c>
      <c r="B45" s="83">
        <v>35000</v>
      </c>
      <c r="C45" s="83">
        <v>0</v>
      </c>
      <c r="D45" s="83">
        <v>0</v>
      </c>
      <c r="E45" s="83">
        <f t="shared" ref="E45:E52" si="19">+F45-SUM(B45:D45)</f>
        <v>0</v>
      </c>
      <c r="F45" s="83">
        <v>35000</v>
      </c>
      <c r="G45" s="83">
        <v>50000</v>
      </c>
      <c r="H45" s="83">
        <v>20000</v>
      </c>
      <c r="I45" s="83">
        <v>0</v>
      </c>
      <c r="J45" s="83">
        <f t="shared" ref="J45:J52" si="20">+K45-SUM(G45:I45)</f>
        <v>10000</v>
      </c>
      <c r="K45" s="83">
        <v>80000</v>
      </c>
      <c r="L45" s="83">
        <v>180000</v>
      </c>
      <c r="M45" s="83">
        <v>0</v>
      </c>
      <c r="N45" s="83">
        <v>110000</v>
      </c>
      <c r="O45" s="83">
        <f t="shared" ref="O45:O52" si="21">P45-SUM(L45:N45)</f>
        <v>0</v>
      </c>
      <c r="P45" s="83">
        <v>290000</v>
      </c>
      <c r="Q45" s="83">
        <v>50000</v>
      </c>
      <c r="R45" s="83">
        <v>0</v>
      </c>
      <c r="S45" s="83">
        <v>125000</v>
      </c>
      <c r="T45" s="83">
        <f t="shared" ref="T45:T52" si="22">U45-SUM(Q45:S45)</f>
        <v>60000</v>
      </c>
      <c r="U45" s="83">
        <v>235000</v>
      </c>
      <c r="V45" s="83">
        <v>175000</v>
      </c>
      <c r="W45" s="83">
        <v>0</v>
      </c>
      <c r="X45" s="83">
        <v>707000</v>
      </c>
    </row>
    <row r="46" spans="1:192" x14ac:dyDescent="0.25">
      <c r="A46" s="10" t="s">
        <v>89</v>
      </c>
      <c r="B46" s="83">
        <v>0</v>
      </c>
      <c r="C46" s="83">
        <v>-10000</v>
      </c>
      <c r="D46" s="83">
        <v>-15000</v>
      </c>
      <c r="E46" s="83">
        <f t="shared" si="19"/>
        <v>-20000</v>
      </c>
      <c r="F46" s="83">
        <v>-45000</v>
      </c>
      <c r="G46" s="83">
        <v>-100000</v>
      </c>
      <c r="H46" s="83">
        <v>0</v>
      </c>
      <c r="I46" s="83">
        <v>-10000</v>
      </c>
      <c r="J46" s="83">
        <f t="shared" si="20"/>
        <v>-20000</v>
      </c>
      <c r="K46" s="83">
        <v>-130000</v>
      </c>
      <c r="L46" s="83">
        <v>-35000</v>
      </c>
      <c r="M46" s="83">
        <v>-10000</v>
      </c>
      <c r="N46" s="83">
        <v>-100000</v>
      </c>
      <c r="O46" s="83">
        <f t="shared" si="21"/>
        <v>-56250</v>
      </c>
      <c r="P46" s="83">
        <v>-201250</v>
      </c>
      <c r="Q46" s="83">
        <v>-31250</v>
      </c>
      <c r="R46" s="83">
        <v>-47250</v>
      </c>
      <c r="S46" s="83">
        <v>-30250</v>
      </c>
      <c r="T46" s="83">
        <f t="shared" si="22"/>
        <v>-116250</v>
      </c>
      <c r="U46" s="83">
        <v>-225000</v>
      </c>
      <c r="V46" s="83">
        <v>-56250</v>
      </c>
      <c r="W46" s="83">
        <v>-36250</v>
      </c>
      <c r="X46" s="83">
        <v>-575750</v>
      </c>
    </row>
    <row r="47" spans="1:192" x14ac:dyDescent="0.25">
      <c r="A47" s="10" t="s">
        <v>136</v>
      </c>
      <c r="B47" s="83">
        <v>0</v>
      </c>
      <c r="C47" s="83">
        <v>0</v>
      </c>
      <c r="D47" s="83">
        <v>0</v>
      </c>
      <c r="E47" s="83">
        <v>0</v>
      </c>
      <c r="F47" s="83">
        <v>0</v>
      </c>
      <c r="G47" s="83">
        <v>0</v>
      </c>
      <c r="H47" s="83">
        <v>-5000</v>
      </c>
      <c r="I47" s="83">
        <v>0</v>
      </c>
      <c r="J47" s="83">
        <v>0</v>
      </c>
      <c r="K47" s="83">
        <v>-5000</v>
      </c>
      <c r="L47" s="83">
        <v>-4000</v>
      </c>
      <c r="M47" s="83">
        <v>0</v>
      </c>
      <c r="N47" s="83">
        <v>0</v>
      </c>
      <c r="O47" s="83">
        <f t="shared" si="21"/>
        <v>0</v>
      </c>
      <c r="P47" s="83">
        <v>-4000</v>
      </c>
      <c r="Q47" s="83">
        <v>0</v>
      </c>
      <c r="R47" s="83">
        <v>0</v>
      </c>
      <c r="S47" s="83">
        <v>0</v>
      </c>
      <c r="T47" s="83">
        <f t="shared" si="22"/>
        <v>0</v>
      </c>
      <c r="U47" s="83">
        <v>0</v>
      </c>
      <c r="V47" s="83">
        <v>0</v>
      </c>
      <c r="W47" s="83">
        <v>0</v>
      </c>
      <c r="X47" s="83">
        <v>0</v>
      </c>
    </row>
    <row r="48" spans="1:192" x14ac:dyDescent="0.25">
      <c r="A48" s="10" t="s">
        <v>67</v>
      </c>
      <c r="B48" s="83">
        <v>0</v>
      </c>
      <c r="C48" s="83">
        <v>0</v>
      </c>
      <c r="D48" s="83">
        <v>0</v>
      </c>
      <c r="E48" s="83">
        <f t="shared" si="19"/>
        <v>0</v>
      </c>
      <c r="F48" s="83">
        <v>0</v>
      </c>
      <c r="G48" s="83">
        <v>0</v>
      </c>
      <c r="H48" s="83">
        <v>0</v>
      </c>
      <c r="I48" s="83">
        <v>0</v>
      </c>
      <c r="J48" s="83">
        <f t="shared" si="20"/>
        <v>0</v>
      </c>
      <c r="K48" s="83">
        <v>0</v>
      </c>
      <c r="L48" s="83">
        <v>0</v>
      </c>
      <c r="M48" s="83">
        <v>0</v>
      </c>
      <c r="N48" s="83">
        <v>-593</v>
      </c>
      <c r="O48" s="83">
        <f t="shared" si="21"/>
        <v>-29</v>
      </c>
      <c r="P48" s="83">
        <v>-622</v>
      </c>
      <c r="Q48" s="83">
        <v>0</v>
      </c>
      <c r="R48" s="83">
        <v>0</v>
      </c>
      <c r="S48" s="83">
        <f>0</f>
        <v>0</v>
      </c>
      <c r="T48" s="83">
        <f t="shared" si="22"/>
        <v>0</v>
      </c>
      <c r="U48" s="83">
        <v>0</v>
      </c>
      <c r="V48" s="83">
        <v>0</v>
      </c>
      <c r="W48" s="83">
        <v>0</v>
      </c>
      <c r="X48" s="83">
        <v>-3518</v>
      </c>
    </row>
    <row r="49" spans="1:24" x14ac:dyDescent="0.25">
      <c r="A49" s="10" t="s">
        <v>108</v>
      </c>
      <c r="B49" s="83">
        <v>-39</v>
      </c>
      <c r="C49" s="83">
        <v>-36</v>
      </c>
      <c r="D49" s="83">
        <v>-33</v>
      </c>
      <c r="E49" s="83">
        <f t="shared" si="19"/>
        <v>-34</v>
      </c>
      <c r="F49" s="83">
        <v>-142</v>
      </c>
      <c r="G49" s="83">
        <v>-43</v>
      </c>
      <c r="H49" s="83">
        <v>-37</v>
      </c>
      <c r="I49" s="83">
        <v>-40</v>
      </c>
      <c r="J49" s="83">
        <f t="shared" si="20"/>
        <v>-49</v>
      </c>
      <c r="K49" s="83">
        <v>-169</v>
      </c>
      <c r="L49" s="83">
        <v>-60</v>
      </c>
      <c r="M49" s="83">
        <v>-72</v>
      </c>
      <c r="N49" s="83">
        <v>-90</v>
      </c>
      <c r="O49" s="83">
        <f t="shared" si="21"/>
        <v>-104</v>
      </c>
      <c r="P49" s="83">
        <v>-326</v>
      </c>
      <c r="Q49" s="83">
        <v>-116</v>
      </c>
      <c r="R49" s="83">
        <v>-131</v>
      </c>
      <c r="S49" s="83">
        <v>-118</v>
      </c>
      <c r="T49" s="83">
        <f t="shared" si="22"/>
        <v>-146</v>
      </c>
      <c r="U49" s="83">
        <v>-511</v>
      </c>
      <c r="V49" s="83">
        <v>-153</v>
      </c>
      <c r="W49" s="83">
        <v>-124</v>
      </c>
      <c r="X49" s="83">
        <v>-232</v>
      </c>
    </row>
    <row r="50" spans="1:24" x14ac:dyDescent="0.25">
      <c r="A50" s="10" t="s">
        <v>195</v>
      </c>
      <c r="B50" s="83">
        <v>0</v>
      </c>
      <c r="C50" s="83">
        <v>0</v>
      </c>
      <c r="D50" s="83">
        <v>0</v>
      </c>
      <c r="E50" s="83">
        <f t="shared" si="19"/>
        <v>0</v>
      </c>
      <c r="F50" s="83">
        <v>0</v>
      </c>
      <c r="G50" s="83">
        <v>0</v>
      </c>
      <c r="H50" s="83">
        <v>85</v>
      </c>
      <c r="I50" s="83">
        <v>0</v>
      </c>
      <c r="J50" s="83">
        <f t="shared" si="20"/>
        <v>0</v>
      </c>
      <c r="K50" s="83">
        <v>85</v>
      </c>
      <c r="L50" s="83">
        <v>0</v>
      </c>
      <c r="M50" s="83"/>
      <c r="N50" s="83"/>
      <c r="O50" s="83">
        <f t="shared" si="21"/>
        <v>0</v>
      </c>
      <c r="P50" s="83">
        <v>0</v>
      </c>
      <c r="Q50" s="83">
        <v>0</v>
      </c>
      <c r="R50" s="83">
        <v>0</v>
      </c>
      <c r="S50" s="83">
        <f>0-SUM(Q50:R50)</f>
        <v>0</v>
      </c>
      <c r="T50" s="83">
        <f t="shared" si="22"/>
        <v>0</v>
      </c>
      <c r="U50" s="83">
        <f>0</f>
        <v>0</v>
      </c>
      <c r="V50" s="83">
        <v>0</v>
      </c>
      <c r="W50" s="83">
        <v>0</v>
      </c>
      <c r="X50" s="83">
        <v>0</v>
      </c>
    </row>
    <row r="51" spans="1:24" x14ac:dyDescent="0.25">
      <c r="A51" s="10" t="s">
        <v>120</v>
      </c>
      <c r="B51" s="72">
        <v>0</v>
      </c>
      <c r="C51" s="72">
        <v>0</v>
      </c>
      <c r="D51" s="72">
        <v>0</v>
      </c>
      <c r="E51" s="83">
        <f t="shared" si="19"/>
        <v>1060</v>
      </c>
      <c r="F51" s="83">
        <v>1060</v>
      </c>
      <c r="G51" s="83">
        <v>1102</v>
      </c>
      <c r="H51" s="83">
        <v>2698</v>
      </c>
      <c r="I51" s="83">
        <v>805</v>
      </c>
      <c r="J51" s="83">
        <f t="shared" si="20"/>
        <v>876</v>
      </c>
      <c r="K51" s="83">
        <v>5481</v>
      </c>
      <c r="L51" s="83">
        <v>1514</v>
      </c>
      <c r="M51" s="83">
        <v>960</v>
      </c>
      <c r="N51" s="83">
        <v>1050</v>
      </c>
      <c r="O51" s="83">
        <f t="shared" si="21"/>
        <v>1499</v>
      </c>
      <c r="P51" s="83">
        <v>5023</v>
      </c>
      <c r="Q51" s="83">
        <v>2765</v>
      </c>
      <c r="R51" s="83">
        <v>1103</v>
      </c>
      <c r="S51" s="83">
        <v>1226</v>
      </c>
      <c r="T51" s="83">
        <f t="shared" si="22"/>
        <v>1143</v>
      </c>
      <c r="U51" s="83">
        <v>6237</v>
      </c>
      <c r="V51" s="83">
        <v>2787</v>
      </c>
      <c r="W51" s="83">
        <v>833</v>
      </c>
      <c r="X51" s="83">
        <v>963</v>
      </c>
    </row>
    <row r="52" spans="1:24" x14ac:dyDescent="0.25">
      <c r="A52" s="10" t="s">
        <v>26</v>
      </c>
      <c r="B52" s="83">
        <v>-31385</v>
      </c>
      <c r="C52" s="83">
        <v>-28806</v>
      </c>
      <c r="D52" s="83">
        <v>-11521</v>
      </c>
      <c r="E52" s="83">
        <f t="shared" si="19"/>
        <v>-930</v>
      </c>
      <c r="F52" s="83">
        <v>-72642</v>
      </c>
      <c r="G52" s="83">
        <v>-42363</v>
      </c>
      <c r="H52" s="83">
        <v>-28275</v>
      </c>
      <c r="I52" s="83">
        <v>-29904</v>
      </c>
      <c r="J52" s="83">
        <f t="shared" si="20"/>
        <v>-31305</v>
      </c>
      <c r="K52" s="83">
        <v>-131847</v>
      </c>
      <c r="L52" s="83">
        <v>-152227</v>
      </c>
      <c r="M52" s="83">
        <v>-8420</v>
      </c>
      <c r="N52" s="83">
        <v>-35233</v>
      </c>
      <c r="O52" s="83">
        <f t="shared" si="21"/>
        <v>-12046</v>
      </c>
      <c r="P52" s="83">
        <v>-207926</v>
      </c>
      <c r="Q52" s="83">
        <v>-17994</v>
      </c>
      <c r="R52" s="83">
        <v>-41679</v>
      </c>
      <c r="S52" s="83">
        <v>-159235</v>
      </c>
      <c r="T52" s="83">
        <f t="shared" si="22"/>
        <v>-109582</v>
      </c>
      <c r="U52" s="83">
        <v>-328490</v>
      </c>
      <c r="V52" s="83">
        <v>-165988</v>
      </c>
      <c r="W52" s="83">
        <v>-20617</v>
      </c>
      <c r="X52" s="83">
        <v>-25834</v>
      </c>
    </row>
    <row r="53" spans="1:24" ht="13" x14ac:dyDescent="0.3">
      <c r="A53" s="119" t="s">
        <v>216</v>
      </c>
      <c r="B53" s="183">
        <f t="shared" ref="B53:U53" si="23">SUM(B45:B52)</f>
        <v>3576</v>
      </c>
      <c r="C53" s="183">
        <f t="shared" si="23"/>
        <v>-38842</v>
      </c>
      <c r="D53" s="183">
        <f t="shared" si="23"/>
        <v>-26554</v>
      </c>
      <c r="E53" s="183">
        <f t="shared" si="23"/>
        <v>-19904</v>
      </c>
      <c r="F53" s="183">
        <f t="shared" si="23"/>
        <v>-81724</v>
      </c>
      <c r="G53" s="183">
        <f t="shared" si="23"/>
        <v>-91304</v>
      </c>
      <c r="H53" s="183">
        <f t="shared" si="23"/>
        <v>-10529</v>
      </c>
      <c r="I53" s="183">
        <f t="shared" si="23"/>
        <v>-39139</v>
      </c>
      <c r="J53" s="183">
        <f t="shared" si="23"/>
        <v>-40478</v>
      </c>
      <c r="K53" s="183">
        <f t="shared" si="23"/>
        <v>-181450</v>
      </c>
      <c r="L53" s="183">
        <f t="shared" si="23"/>
        <v>-9773</v>
      </c>
      <c r="M53" s="183">
        <f t="shared" si="23"/>
        <v>-17532</v>
      </c>
      <c r="N53" s="183">
        <f t="shared" si="23"/>
        <v>-24866</v>
      </c>
      <c r="O53" s="183">
        <f t="shared" si="23"/>
        <v>-66930</v>
      </c>
      <c r="P53" s="183">
        <f t="shared" si="23"/>
        <v>-119101</v>
      </c>
      <c r="Q53" s="183">
        <f t="shared" si="23"/>
        <v>3405</v>
      </c>
      <c r="R53" s="183">
        <f t="shared" si="23"/>
        <v>-87957</v>
      </c>
      <c r="S53" s="183">
        <f t="shared" si="23"/>
        <v>-63377</v>
      </c>
      <c r="T53" s="183">
        <f t="shared" si="23"/>
        <v>-164835</v>
      </c>
      <c r="U53" s="183">
        <f t="shared" si="23"/>
        <v>-312764</v>
      </c>
      <c r="V53" s="183">
        <f t="shared" ref="V53:W53" si="24">SUM(V45:V52)</f>
        <v>-44604</v>
      </c>
      <c r="W53" s="183">
        <f t="shared" si="24"/>
        <v>-56158</v>
      </c>
      <c r="X53" s="183">
        <f t="shared" ref="X53" si="25">SUM(X45:X52)</f>
        <v>102629</v>
      </c>
    </row>
    <row r="54" spans="1:24" x14ac:dyDescent="0.25">
      <c r="A54" s="11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</row>
    <row r="55" spans="1:24" x14ac:dyDescent="0.25">
      <c r="A55" s="11" t="s">
        <v>129</v>
      </c>
      <c r="B55" s="83">
        <v>-753</v>
      </c>
      <c r="C55" s="83">
        <v>-4612</v>
      </c>
      <c r="D55" s="83">
        <v>-4261</v>
      </c>
      <c r="E55" s="83">
        <f>+F55-SUM(B55:D55)</f>
        <v>3566</v>
      </c>
      <c r="F55" s="83">
        <v>-6060</v>
      </c>
      <c r="G55" s="83">
        <v>1282</v>
      </c>
      <c r="H55" s="83">
        <v>242</v>
      </c>
      <c r="I55" s="83">
        <v>-1812</v>
      </c>
      <c r="J55" s="83">
        <f>+K55-SUM(G55:I55)</f>
        <v>2317</v>
      </c>
      <c r="K55" s="83">
        <v>2029</v>
      </c>
      <c r="L55" s="83">
        <v>-1212</v>
      </c>
      <c r="M55" s="83">
        <v>-632</v>
      </c>
      <c r="N55" s="83">
        <v>3174</v>
      </c>
      <c r="O55" s="83">
        <f t="shared" ref="O55" si="26">P55-SUM(L55:N55)</f>
        <v>-5658</v>
      </c>
      <c r="P55" s="83">
        <v>-4328</v>
      </c>
      <c r="Q55" s="83">
        <v>2700</v>
      </c>
      <c r="R55" s="83">
        <v>4646</v>
      </c>
      <c r="S55" s="83">
        <v>-1709</v>
      </c>
      <c r="T55" s="83">
        <f t="shared" ref="T55:T57" si="27">U55-SUM(Q55:S55)</f>
        <v>241</v>
      </c>
      <c r="U55" s="83">
        <v>5878</v>
      </c>
      <c r="V55" s="83">
        <v>-2331</v>
      </c>
      <c r="W55" s="83">
        <v>471</v>
      </c>
      <c r="X55" s="83">
        <v>-960</v>
      </c>
    </row>
    <row r="56" spans="1:24" x14ac:dyDescent="0.25">
      <c r="A56" s="12" t="s">
        <v>15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>
        <f t="shared" si="27"/>
        <v>0</v>
      </c>
      <c r="U56" s="83"/>
      <c r="V56" s="83"/>
      <c r="W56" s="83"/>
      <c r="X56" s="83"/>
    </row>
    <row r="57" spans="1:24" ht="13" x14ac:dyDescent="0.3">
      <c r="A57" s="9" t="s">
        <v>132</v>
      </c>
      <c r="B57" s="184">
        <f t="shared" ref="B57:V57" si="28">B53+B42+B33+B55</f>
        <v>-28741</v>
      </c>
      <c r="C57" s="184">
        <f t="shared" si="28"/>
        <v>131</v>
      </c>
      <c r="D57" s="184">
        <f t="shared" si="28"/>
        <v>-16929</v>
      </c>
      <c r="E57" s="184">
        <f t="shared" si="28"/>
        <v>27350</v>
      </c>
      <c r="F57" s="184">
        <f t="shared" si="28"/>
        <v>-18189</v>
      </c>
      <c r="G57" s="184">
        <f t="shared" si="28"/>
        <v>-30656</v>
      </c>
      <c r="H57" s="184">
        <f t="shared" si="28"/>
        <v>5695</v>
      </c>
      <c r="I57" s="184">
        <f t="shared" si="28"/>
        <v>27299</v>
      </c>
      <c r="J57" s="184">
        <f t="shared" si="28"/>
        <v>17442</v>
      </c>
      <c r="K57" s="184">
        <f t="shared" si="28"/>
        <v>19780</v>
      </c>
      <c r="L57" s="184">
        <f t="shared" si="28"/>
        <v>-28169</v>
      </c>
      <c r="M57" s="184">
        <f t="shared" si="28"/>
        <v>10173.360520000002</v>
      </c>
      <c r="N57" s="184">
        <f t="shared" si="28"/>
        <v>35858.639480000013</v>
      </c>
      <c r="O57" s="184">
        <f t="shared" si="28"/>
        <v>8134</v>
      </c>
      <c r="P57" s="184">
        <f t="shared" si="28"/>
        <v>25997</v>
      </c>
      <c r="Q57" s="184">
        <f t="shared" si="28"/>
        <v>-12920.3160593545</v>
      </c>
      <c r="R57" s="184">
        <f t="shared" si="28"/>
        <v>12047.316059354489</v>
      </c>
      <c r="S57" s="184">
        <f t="shared" si="28"/>
        <v>9308</v>
      </c>
      <c r="T57" s="83">
        <f t="shared" si="27"/>
        <v>-13863.999999999989</v>
      </c>
      <c r="U57" s="184">
        <f t="shared" si="28"/>
        <v>-5429</v>
      </c>
      <c r="V57" s="184">
        <f t="shared" si="28"/>
        <v>-1191.2862745320072</v>
      </c>
      <c r="W57" s="184">
        <f t="shared" ref="W57" si="29">W53+W42+W33+W55</f>
        <v>-18005.713725467998</v>
      </c>
      <c r="X57" s="184">
        <f>ROUNDDOWN(X53+X42+X33+X55,0)</f>
        <v>28302</v>
      </c>
    </row>
    <row r="58" spans="1:24" x14ac:dyDescent="0.25">
      <c r="A58" s="19" t="s">
        <v>131</v>
      </c>
      <c r="B58" s="185">
        <v>143810.47593517869</v>
      </c>
      <c r="C58" s="185">
        <f t="shared" ref="C58:L58" si="30">B59</f>
        <v>115069.47593517869</v>
      </c>
      <c r="D58" s="185">
        <f t="shared" si="30"/>
        <v>115200.47593517869</v>
      </c>
      <c r="E58" s="185">
        <f t="shared" si="30"/>
        <v>98271.475935178692</v>
      </c>
      <c r="F58" s="185">
        <v>143810.47593517869</v>
      </c>
      <c r="G58" s="185">
        <f t="shared" si="30"/>
        <v>125621.47593517869</v>
      </c>
      <c r="H58" s="185">
        <f t="shared" si="30"/>
        <v>94965.475935178692</v>
      </c>
      <c r="I58" s="185">
        <f t="shared" si="30"/>
        <v>100660.47593517869</v>
      </c>
      <c r="J58" s="185">
        <f t="shared" si="30"/>
        <v>127959.47593517869</v>
      </c>
      <c r="K58" s="185">
        <f>F59</f>
        <v>125621.47593517869</v>
      </c>
      <c r="L58" s="185">
        <f t="shared" si="30"/>
        <v>145401.47593517869</v>
      </c>
      <c r="M58" s="185">
        <f>L59</f>
        <v>117232.47593517869</v>
      </c>
      <c r="N58" s="185">
        <f>M59</f>
        <v>127405.83645517869</v>
      </c>
      <c r="O58" s="185">
        <f>N59</f>
        <v>163264.47593517869</v>
      </c>
      <c r="P58" s="185">
        <f>K59</f>
        <v>145401.47593517869</v>
      </c>
      <c r="Q58" s="185">
        <f>O59</f>
        <v>171398.47593517869</v>
      </c>
      <c r="R58" s="185">
        <f>Q59</f>
        <v>158478.1598758242</v>
      </c>
      <c r="S58" s="185">
        <f>R59</f>
        <v>170525.47593517869</v>
      </c>
      <c r="T58" s="83">
        <f>S59</f>
        <v>179833.47593517869</v>
      </c>
      <c r="U58" s="185">
        <f>P59</f>
        <v>171398.47593517869</v>
      </c>
      <c r="V58" s="200">
        <f>T59</f>
        <v>165969.47593517869</v>
      </c>
      <c r="W58" s="200">
        <f>V59</f>
        <v>164778.18966064669</v>
      </c>
      <c r="X58" s="200">
        <f>W59</f>
        <v>146772.47593517869</v>
      </c>
    </row>
    <row r="59" spans="1:24" ht="13" x14ac:dyDescent="0.3">
      <c r="A59" s="119" t="s">
        <v>130</v>
      </c>
      <c r="B59" s="123">
        <f t="shared" ref="B59:L59" si="31">SUM(B57:B58)</f>
        <v>115069.47593517869</v>
      </c>
      <c r="C59" s="123">
        <f t="shared" si="31"/>
        <v>115200.47593517869</v>
      </c>
      <c r="D59" s="123">
        <f t="shared" si="31"/>
        <v>98271.475935178692</v>
      </c>
      <c r="E59" s="123">
        <f t="shared" si="31"/>
        <v>125621.47593517869</v>
      </c>
      <c r="F59" s="123">
        <f t="shared" si="31"/>
        <v>125621.47593517869</v>
      </c>
      <c r="G59" s="123">
        <f t="shared" si="31"/>
        <v>94965.475935178692</v>
      </c>
      <c r="H59" s="123">
        <f t="shared" si="31"/>
        <v>100660.47593517869</v>
      </c>
      <c r="I59" s="123">
        <f t="shared" si="31"/>
        <v>127959.47593517869</v>
      </c>
      <c r="J59" s="123">
        <f t="shared" si="31"/>
        <v>145401.47593517869</v>
      </c>
      <c r="K59" s="123">
        <f t="shared" si="31"/>
        <v>145401.47593517869</v>
      </c>
      <c r="L59" s="123">
        <f t="shared" si="31"/>
        <v>117232.47593517869</v>
      </c>
      <c r="M59" s="124">
        <f t="shared" ref="M59:N59" si="32">SUM(M57:M58)</f>
        <v>127405.83645517869</v>
      </c>
      <c r="N59" s="124">
        <f t="shared" si="32"/>
        <v>163264.47593517869</v>
      </c>
      <c r="O59" s="124">
        <f t="shared" ref="O59:V59" si="33">SUM(O57:O58)</f>
        <v>171398.47593517869</v>
      </c>
      <c r="P59" s="124">
        <f t="shared" si="33"/>
        <v>171398.47593517869</v>
      </c>
      <c r="Q59" s="124">
        <f t="shared" si="33"/>
        <v>158478.1598758242</v>
      </c>
      <c r="R59" s="124">
        <f t="shared" si="33"/>
        <v>170525.47593517869</v>
      </c>
      <c r="S59" s="124">
        <f t="shared" si="33"/>
        <v>179833.47593517869</v>
      </c>
      <c r="T59" s="124">
        <f t="shared" si="33"/>
        <v>165969.47593517869</v>
      </c>
      <c r="U59" s="124">
        <f>SUM(U57:U58)</f>
        <v>165969.47593517869</v>
      </c>
      <c r="V59" s="123">
        <f t="shared" si="33"/>
        <v>164778.18966064669</v>
      </c>
      <c r="W59" s="123">
        <f t="shared" ref="W59:X59" si="34">SUM(W57:W58)</f>
        <v>146772.47593517869</v>
      </c>
      <c r="X59" s="123">
        <f t="shared" si="34"/>
        <v>175074.47593517869</v>
      </c>
    </row>
    <row r="60" spans="1:24" x14ac:dyDescent="0.25">
      <c r="A60" s="1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</row>
    <row r="61" spans="1:24" x14ac:dyDescent="0.25"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</row>
    <row r="62" spans="1:24" x14ac:dyDescent="0.25"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</row>
    <row r="66" spans="12:12" x14ac:dyDescent="0.25">
      <c r="L66" s="96"/>
    </row>
  </sheetData>
  <hyperlinks>
    <hyperlink ref="U1" location="Contents!B6" display="Back" xr:uid="{41B69EF9-BCB3-4937-9F1A-3D650A65BF58}"/>
  </hyperlinks>
  <pageMargins left="0.25" right="0.25" top="0.75" bottom="0.75" header="0.3" footer="0.3"/>
  <pageSetup paperSize="9" scale="63" orientation="landscape" r:id="rId1"/>
  <rowBreaks count="2" manualBreakCount="2">
    <brk id="42" max="23" man="1"/>
    <brk id="61" max="2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92D050"/>
    <pageSetUpPr fitToPage="1"/>
  </sheetPr>
  <dimension ref="A1:S75"/>
  <sheetViews>
    <sheetView showGridLines="0" view="pageBreakPreview" zoomScale="80" zoomScaleNormal="70" zoomScaleSheetLayoutView="80" workbookViewId="0">
      <pane xSplit="2" ySplit="4" topLeftCell="G5" activePane="bottomRight" state="frozen"/>
      <selection activeCell="B1" sqref="B1"/>
      <selection pane="topRight" activeCell="B1" sqref="B1"/>
      <selection pane="bottomLeft" activeCell="B1" sqref="B1"/>
      <selection pane="bottomRight" activeCell="V16" sqref="V16"/>
    </sheetView>
  </sheetViews>
  <sheetFormatPr defaultColWidth="9.1796875" defaultRowHeight="12.5" outlineLevelCol="1" x14ac:dyDescent="0.25"/>
  <cols>
    <col min="1" max="1" width="2.453125" style="5" customWidth="1"/>
    <col min="2" max="2" width="37.453125" style="132" bestFit="1" customWidth="1"/>
    <col min="3" max="6" width="10.7265625" style="132" hidden="1" customWidth="1" outlineLevel="1"/>
    <col min="7" max="7" width="12.26953125" style="132" bestFit="1" customWidth="1" collapsed="1"/>
    <col min="8" max="11" width="10.7265625" style="132" hidden="1" customWidth="1" outlineLevel="1"/>
    <col min="12" max="12" width="12.26953125" style="132" bestFit="1" customWidth="1" collapsed="1"/>
    <col min="13" max="16" width="10.7265625" style="132" hidden="1" customWidth="1" outlineLevel="1"/>
    <col min="17" max="17" width="12.26953125" style="132" bestFit="1" customWidth="1" collapsed="1"/>
    <col min="18" max="18" width="20.1796875" style="132" customWidth="1"/>
    <col min="19" max="19" width="9.1796875" style="132" customWidth="1"/>
    <col min="20" max="16384" width="9.1796875" style="132"/>
  </cols>
  <sheetData>
    <row r="1" spans="1:17" ht="13.5" thickBot="1" x14ac:dyDescent="0.35">
      <c r="A1" s="5" t="s">
        <v>81</v>
      </c>
      <c r="B1" s="2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205" t="s">
        <v>162</v>
      </c>
    </row>
    <row r="2" spans="1:17" ht="15" customHeight="1" thickBot="1" x14ac:dyDescent="0.35">
      <c r="B2" s="2"/>
      <c r="C2" s="215">
        <v>2022</v>
      </c>
      <c r="D2" s="216"/>
      <c r="E2" s="216"/>
      <c r="F2" s="216"/>
      <c r="G2" s="217"/>
      <c r="H2" s="215">
        <v>2023</v>
      </c>
      <c r="I2" s="216"/>
      <c r="J2" s="216"/>
      <c r="K2" s="216"/>
      <c r="L2" s="217"/>
      <c r="M2" s="215">
        <v>2024</v>
      </c>
      <c r="N2" s="216"/>
      <c r="O2" s="216"/>
      <c r="P2" s="216"/>
      <c r="Q2" s="217"/>
    </row>
    <row r="3" spans="1:17" s="137" customFormat="1" ht="13.5" thickBot="1" x14ac:dyDescent="0.4">
      <c r="A3" s="133"/>
      <c r="B3" s="134"/>
      <c r="C3" s="136">
        <v>2022</v>
      </c>
      <c r="D3" s="136">
        <v>2022</v>
      </c>
      <c r="E3" s="136">
        <v>2022</v>
      </c>
      <c r="F3" s="136">
        <v>2022</v>
      </c>
      <c r="G3" s="136">
        <v>2022</v>
      </c>
      <c r="H3" s="135">
        <v>2023</v>
      </c>
      <c r="I3" s="135">
        <v>2023</v>
      </c>
      <c r="J3" s="135">
        <v>2023</v>
      </c>
      <c r="K3" s="135">
        <v>2023</v>
      </c>
      <c r="L3" s="135">
        <v>2023</v>
      </c>
      <c r="M3" s="136">
        <v>2024</v>
      </c>
      <c r="N3" s="136">
        <v>2024</v>
      </c>
      <c r="O3" s="136">
        <v>2024</v>
      </c>
      <c r="P3" s="136">
        <v>2024</v>
      </c>
      <c r="Q3" s="136">
        <v>2024</v>
      </c>
    </row>
    <row r="4" spans="1:17" ht="13" x14ac:dyDescent="0.3">
      <c r="B4" s="2"/>
      <c r="C4" s="4" t="s">
        <v>4</v>
      </c>
      <c r="D4" s="4" t="s">
        <v>5</v>
      </c>
      <c r="E4" s="4" t="s">
        <v>6</v>
      </c>
      <c r="F4" s="4" t="s">
        <v>7</v>
      </c>
      <c r="G4" s="4" t="s">
        <v>119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142</v>
      </c>
      <c r="M4" s="4" t="s">
        <v>4</v>
      </c>
      <c r="N4" s="4" t="s">
        <v>5</v>
      </c>
      <c r="O4" s="4" t="s">
        <v>6</v>
      </c>
      <c r="P4" s="4" t="s">
        <v>7</v>
      </c>
      <c r="Q4" s="4" t="s">
        <v>151</v>
      </c>
    </row>
    <row r="5" spans="1:17" ht="13" x14ac:dyDescent="0.3">
      <c r="A5" s="218" t="s">
        <v>176</v>
      </c>
      <c r="B5" s="218"/>
    </row>
    <row r="6" spans="1:17" ht="21" customHeight="1" x14ac:dyDescent="0.3">
      <c r="A6" s="218" t="s">
        <v>39</v>
      </c>
      <c r="B6" s="218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</row>
    <row r="7" spans="1:17" ht="21" hidden="1" customHeight="1" x14ac:dyDescent="0.25">
      <c r="B7" s="50"/>
    </row>
    <row r="8" spans="1:17" ht="21" hidden="1" customHeight="1" x14ac:dyDescent="0.25">
      <c r="B8" s="50"/>
    </row>
    <row r="9" spans="1:17" ht="21" hidden="1" customHeight="1" x14ac:dyDescent="0.25">
      <c r="B9" s="50"/>
    </row>
    <row r="10" spans="1:17" ht="21" hidden="1" customHeight="1" x14ac:dyDescent="0.25">
      <c r="B10" s="50"/>
    </row>
    <row r="11" spans="1:17" ht="21" hidden="1" customHeight="1" x14ac:dyDescent="0.25">
      <c r="B11" s="2"/>
    </row>
    <row r="12" spans="1:17" ht="21" hidden="1" customHeight="1" x14ac:dyDescent="0.3">
      <c r="B12" s="1"/>
    </row>
    <row r="13" spans="1:17" ht="21" hidden="1" customHeight="1" x14ac:dyDescent="0.25">
      <c r="B13" s="50"/>
    </row>
    <row r="14" spans="1:17" ht="21" hidden="1" customHeight="1" x14ac:dyDescent="0.25">
      <c r="B14" s="50"/>
    </row>
    <row r="15" spans="1:17" ht="21" hidden="1" customHeight="1" x14ac:dyDescent="0.25">
      <c r="B15" s="50"/>
    </row>
    <row r="16" spans="1:17" ht="13" x14ac:dyDescent="0.3">
      <c r="A16" s="1"/>
      <c r="B16" s="2"/>
      <c r="K16" s="138"/>
    </row>
    <row r="17" spans="1:18" ht="15" x14ac:dyDescent="0.3">
      <c r="A17" s="139"/>
      <c r="B17" s="119" t="s">
        <v>218</v>
      </c>
      <c r="C17" s="140">
        <f t="shared" ref="C17:Q17" si="0">C23+C29+C35</f>
        <v>180169</v>
      </c>
      <c r="D17" s="140">
        <f t="shared" si="0"/>
        <v>185481</v>
      </c>
      <c r="E17" s="140">
        <f t="shared" si="0"/>
        <v>195053</v>
      </c>
      <c r="F17" s="140">
        <f t="shared" si="0"/>
        <v>203990</v>
      </c>
      <c r="G17" s="140">
        <f t="shared" si="0"/>
        <v>764693</v>
      </c>
      <c r="H17" s="140">
        <f t="shared" si="0"/>
        <v>218801</v>
      </c>
      <c r="I17" s="140">
        <f t="shared" si="0"/>
        <v>222813</v>
      </c>
      <c r="J17" s="140">
        <f t="shared" si="0"/>
        <v>227862</v>
      </c>
      <c r="K17" s="140">
        <f t="shared" si="0"/>
        <v>232065</v>
      </c>
      <c r="L17" s="140">
        <f t="shared" si="0"/>
        <v>901541</v>
      </c>
      <c r="M17" s="140">
        <f t="shared" si="0"/>
        <v>245781</v>
      </c>
      <c r="N17" s="140">
        <f t="shared" si="0"/>
        <v>254580</v>
      </c>
      <c r="O17" s="140">
        <f t="shared" si="0"/>
        <v>268071</v>
      </c>
      <c r="P17" s="140">
        <f t="shared" si="0"/>
        <v>273742</v>
      </c>
      <c r="Q17" s="140">
        <f t="shared" si="0"/>
        <v>1042174</v>
      </c>
      <c r="R17" s="141"/>
    </row>
    <row r="18" spans="1:18" x14ac:dyDescent="0.25">
      <c r="B18" s="50" t="s">
        <v>74</v>
      </c>
      <c r="C18" s="142">
        <v>0.13247597317292392</v>
      </c>
      <c r="D18" s="142">
        <v>0.13333822154601949</v>
      </c>
      <c r="E18" s="142">
        <v>0.14830273987118958</v>
      </c>
      <c r="F18" s="142">
        <v>0.20699142639062296</v>
      </c>
      <c r="G18" s="142">
        <v>0.15578707447314999</v>
      </c>
      <c r="H18" s="142">
        <f>H17/C17-1</f>
        <v>0.21442090481714393</v>
      </c>
      <c r="I18" s="142">
        <f>I17/D17-1</f>
        <v>0.20127128924256388</v>
      </c>
      <c r="J18" s="143">
        <f>J17/E17-1</f>
        <v>0.16820556464140513</v>
      </c>
      <c r="K18" s="142">
        <f t="shared" ref="K18" si="1">K17/F17-1</f>
        <v>0.13762929555370351</v>
      </c>
      <c r="L18" s="142">
        <f t="shared" ref="L18" si="2">L17/G17-1</f>
        <v>0.17895809167862131</v>
      </c>
      <c r="M18" s="142">
        <f>M17/H17-1</f>
        <v>0.12330839438576602</v>
      </c>
      <c r="N18" s="142">
        <f>N17/I17-1</f>
        <v>0.14257247108561888</v>
      </c>
      <c r="O18" s="142">
        <f>O17/J17-1</f>
        <v>0.17646206914711526</v>
      </c>
      <c r="P18" s="142">
        <f>P17/K17-1</f>
        <v>0.17959192467627605</v>
      </c>
      <c r="Q18" s="142">
        <f>Q17/L17-1</f>
        <v>0.15599179626883308</v>
      </c>
      <c r="R18" s="141"/>
    </row>
    <row r="19" spans="1:18" x14ac:dyDescent="0.25">
      <c r="B19" s="50" t="s">
        <v>77</v>
      </c>
      <c r="C19" s="143">
        <v>0.13961567030821898</v>
      </c>
      <c r="D19" s="143">
        <v>0.15033269885470735</v>
      </c>
      <c r="E19" s="143">
        <v>0.17187436580971149</v>
      </c>
      <c r="F19" s="143">
        <v>0.22975035140904332</v>
      </c>
      <c r="G19" s="143">
        <v>0.17357299666141079</v>
      </c>
      <c r="H19" s="143">
        <v>0.2324777889138252</v>
      </c>
      <c r="I19" s="143">
        <v>0.20843819543719944</v>
      </c>
      <c r="J19" s="143">
        <v>0.16420739184312994</v>
      </c>
      <c r="K19" s="143">
        <v>0.13404308666251508</v>
      </c>
      <c r="L19" s="143">
        <v>0.18297434587289607</v>
      </c>
      <c r="M19" s="143">
        <v>0.12345030546140801</v>
      </c>
      <c r="N19" s="143">
        <v>0.1432362749567746</v>
      </c>
      <c r="O19" s="143">
        <v>0.17140954712138612</v>
      </c>
      <c r="P19" s="143">
        <v>0.18060042538682608</v>
      </c>
      <c r="Q19" s="143">
        <v>0.15517292499254043</v>
      </c>
      <c r="R19" s="141"/>
    </row>
    <row r="20" spans="1:18" x14ac:dyDescent="0.25">
      <c r="B20" s="50" t="s">
        <v>34</v>
      </c>
      <c r="C20" s="144">
        <f t="shared" ref="C20:Q20" si="3">ROUND(C26+C32+C38,0)</f>
        <v>68223</v>
      </c>
      <c r="D20" s="144">
        <f t="shared" si="3"/>
        <v>65928</v>
      </c>
      <c r="E20" s="144">
        <f t="shared" si="3"/>
        <v>70530</v>
      </c>
      <c r="F20" s="144">
        <f t="shared" si="3"/>
        <v>73310</v>
      </c>
      <c r="G20" s="144">
        <f t="shared" si="3"/>
        <v>277991</v>
      </c>
      <c r="H20" s="144">
        <f t="shared" si="3"/>
        <v>81698</v>
      </c>
      <c r="I20" s="145">
        <f t="shared" si="3"/>
        <v>83106</v>
      </c>
      <c r="J20" s="145">
        <f t="shared" si="3"/>
        <v>87295</v>
      </c>
      <c r="K20" s="144">
        <f t="shared" si="3"/>
        <v>87441</v>
      </c>
      <c r="L20" s="144">
        <f t="shared" si="3"/>
        <v>339540</v>
      </c>
      <c r="M20" s="144">
        <f t="shared" si="3"/>
        <v>95193</v>
      </c>
      <c r="N20" s="144">
        <f t="shared" si="3"/>
        <v>95185</v>
      </c>
      <c r="O20" s="144">
        <f t="shared" si="3"/>
        <v>99656</v>
      </c>
      <c r="P20" s="144">
        <f t="shared" si="3"/>
        <v>102449</v>
      </c>
      <c r="Q20" s="144">
        <f t="shared" si="3"/>
        <v>392483</v>
      </c>
      <c r="R20" s="141"/>
    </row>
    <row r="21" spans="1:18" x14ac:dyDescent="0.25">
      <c r="B21" s="50" t="s">
        <v>36</v>
      </c>
      <c r="C21" s="74">
        <f t="shared" ref="C21:I21" si="4">C20/C17</f>
        <v>0.3786611459241046</v>
      </c>
      <c r="D21" s="74">
        <f t="shared" si="4"/>
        <v>0.35544341468937518</v>
      </c>
      <c r="E21" s="74">
        <f t="shared" ref="E21" si="5">E20/E17</f>
        <v>0.3615940282897469</v>
      </c>
      <c r="F21" s="74">
        <f t="shared" si="4"/>
        <v>0.35938036178244032</v>
      </c>
      <c r="G21" s="74">
        <f t="shared" si="4"/>
        <v>0.36353281643744612</v>
      </c>
      <c r="H21" s="74">
        <f t="shared" si="4"/>
        <v>0.37338951832944089</v>
      </c>
      <c r="I21" s="74">
        <f t="shared" si="4"/>
        <v>0.37298541826554105</v>
      </c>
      <c r="J21" s="74">
        <f t="shared" ref="J21:M21" si="6">J20/J17</f>
        <v>0.38310468616969923</v>
      </c>
      <c r="K21" s="74">
        <f t="shared" si="6"/>
        <v>0.37679529442182147</v>
      </c>
      <c r="L21" s="74">
        <f t="shared" si="6"/>
        <v>0.37662180644030607</v>
      </c>
      <c r="M21" s="74">
        <f t="shared" si="6"/>
        <v>0.38730821340949872</v>
      </c>
      <c r="N21" s="74">
        <f t="shared" ref="N21:O21" si="7">N20/N17</f>
        <v>0.37389032916961268</v>
      </c>
      <c r="O21" s="74">
        <f t="shared" si="7"/>
        <v>0.3717522596625521</v>
      </c>
      <c r="P21" s="74">
        <f t="shared" ref="P21:Q21" si="8">P20/P17</f>
        <v>0.37425385947351886</v>
      </c>
      <c r="Q21" s="74">
        <f t="shared" si="8"/>
        <v>0.37660026060907298</v>
      </c>
      <c r="R21" s="141"/>
    </row>
    <row r="22" spans="1:18" x14ac:dyDescent="0.25">
      <c r="B22" s="50"/>
      <c r="R22" s="141"/>
    </row>
    <row r="23" spans="1:18" ht="13" x14ac:dyDescent="0.3">
      <c r="A23" s="147"/>
      <c r="B23" s="147" t="s">
        <v>76</v>
      </c>
      <c r="C23" s="148">
        <v>103266</v>
      </c>
      <c r="D23" s="148">
        <v>108557</v>
      </c>
      <c r="E23" s="148">
        <v>116198</v>
      </c>
      <c r="F23" s="148">
        <f>G23-SUM(C23:E23)</f>
        <v>120683</v>
      </c>
      <c r="G23" s="148">
        <v>448704</v>
      </c>
      <c r="H23" s="148">
        <v>125937</v>
      </c>
      <c r="I23" s="148">
        <v>128457</v>
      </c>
      <c r="J23" s="148">
        <v>136369</v>
      </c>
      <c r="K23" s="148">
        <f>L23-SUM(H23:J23)</f>
        <v>139092</v>
      </c>
      <c r="L23" s="148">
        <v>529855</v>
      </c>
      <c r="M23" s="148">
        <v>145139</v>
      </c>
      <c r="N23" s="148">
        <v>149297</v>
      </c>
      <c r="O23" s="148">
        <v>157574</v>
      </c>
      <c r="P23" s="148">
        <f>Q23-SUM(M23:O23)</f>
        <v>162018</v>
      </c>
      <c r="Q23" s="148">
        <v>614028</v>
      </c>
      <c r="R23" s="141"/>
    </row>
    <row r="24" spans="1:18" x14ac:dyDescent="0.25">
      <c r="B24" s="50" t="s">
        <v>74</v>
      </c>
      <c r="C24" s="142">
        <v>0.13279947345326892</v>
      </c>
      <c r="D24" s="142">
        <v>0.14609529239117802</v>
      </c>
      <c r="E24" s="142">
        <v>0.18559709411476621</v>
      </c>
      <c r="F24" s="142">
        <v>0.23005340834964128</v>
      </c>
      <c r="G24" s="142">
        <v>0.17462087597087961</v>
      </c>
      <c r="H24" s="142">
        <f>H23/C23-1</f>
        <v>0.21953982917901338</v>
      </c>
      <c r="I24" s="143">
        <f>I23/D23-1</f>
        <v>0.18331383512808941</v>
      </c>
      <c r="J24" s="143">
        <f>J23/E23-1</f>
        <v>0.17359162808309958</v>
      </c>
      <c r="K24" s="142">
        <f t="shared" ref="K24" si="9">K23/F23-1</f>
        <v>0.15254012578407905</v>
      </c>
      <c r="L24" s="142">
        <f t="shared" ref="L24" si="10">L23/G23-1</f>
        <v>0.18085642205106267</v>
      </c>
      <c r="M24" s="142">
        <f>M23/H23-1</f>
        <v>0.1524730619277892</v>
      </c>
      <c r="N24" s="142">
        <f>N23/I23-1</f>
        <v>0.16223327650497832</v>
      </c>
      <c r="O24" s="142">
        <f>O23/J23-1</f>
        <v>0.15549721710946041</v>
      </c>
      <c r="P24" s="142">
        <f>P23/K23-1</f>
        <v>0.16482615822621005</v>
      </c>
      <c r="Q24" s="142">
        <f>Q23/L23-1</f>
        <v>0.15886044295137358</v>
      </c>
      <c r="R24" s="141"/>
    </row>
    <row r="25" spans="1:18" x14ac:dyDescent="0.25">
      <c r="B25" s="50" t="s">
        <v>77</v>
      </c>
      <c r="C25" s="143">
        <v>0.13914165971010073</v>
      </c>
      <c r="D25" s="143">
        <v>0.15940735033532616</v>
      </c>
      <c r="E25" s="143">
        <v>0.20256649564599694</v>
      </c>
      <c r="F25" s="143">
        <v>0.24575108489288588</v>
      </c>
      <c r="G25" s="143">
        <v>0.18782068621210746</v>
      </c>
      <c r="H25" s="143">
        <v>0.23277185001861889</v>
      </c>
      <c r="I25" s="143">
        <v>0.19209484764736695</v>
      </c>
      <c r="J25" s="143">
        <v>0.17591072034844712</v>
      </c>
      <c r="K25" s="143">
        <v>0.15347102861842088</v>
      </c>
      <c r="L25" s="143">
        <v>0.1868770373276698</v>
      </c>
      <c r="M25" s="143">
        <v>0.15568992839069518</v>
      </c>
      <c r="N25" s="143">
        <v>0.16232883162159317</v>
      </c>
      <c r="O25" s="143">
        <v>0.15084870680266604</v>
      </c>
      <c r="P25" s="143">
        <v>0.1660767367047451</v>
      </c>
      <c r="Q25" s="143">
        <v>0.15878010290735345</v>
      </c>
      <c r="R25" s="141"/>
    </row>
    <row r="26" spans="1:18" x14ac:dyDescent="0.25">
      <c r="B26" s="50" t="s">
        <v>34</v>
      </c>
      <c r="C26" s="144">
        <v>38184</v>
      </c>
      <c r="D26" s="144">
        <v>37912</v>
      </c>
      <c r="E26" s="144">
        <v>41157</v>
      </c>
      <c r="F26" s="144">
        <f>G26-SUM(C26:E26)</f>
        <v>43717</v>
      </c>
      <c r="G26" s="144">
        <v>160970</v>
      </c>
      <c r="H26" s="144">
        <v>43613</v>
      </c>
      <c r="I26" s="144">
        <v>44135</v>
      </c>
      <c r="J26" s="145">
        <v>49934</v>
      </c>
      <c r="K26" s="144">
        <f>L26-SUM(H26:J26)</f>
        <v>50388</v>
      </c>
      <c r="L26" s="145">
        <v>188070</v>
      </c>
      <c r="M26" s="144">
        <v>52847</v>
      </c>
      <c r="N26" s="144">
        <v>53773</v>
      </c>
      <c r="O26" s="144">
        <v>57247</v>
      </c>
      <c r="P26" s="144">
        <f>Q26-SUM(M26:O26)</f>
        <v>59811</v>
      </c>
      <c r="Q26" s="144">
        <v>223678</v>
      </c>
      <c r="R26" s="141"/>
    </row>
    <row r="27" spans="1:18" x14ac:dyDescent="0.25">
      <c r="B27" s="50" t="s">
        <v>36</v>
      </c>
      <c r="C27" s="74">
        <f t="shared" ref="C27:I27" si="11">C26/C23</f>
        <v>0.36976352332810414</v>
      </c>
      <c r="D27" s="74">
        <f t="shared" si="11"/>
        <v>0.34923588529528266</v>
      </c>
      <c r="E27" s="74">
        <f t="shared" si="11"/>
        <v>0.35419714625036575</v>
      </c>
      <c r="F27" s="74">
        <f t="shared" si="11"/>
        <v>0.36224654673814871</v>
      </c>
      <c r="G27" s="74">
        <f t="shared" si="11"/>
        <v>0.35874429467978891</v>
      </c>
      <c r="H27" s="74">
        <f t="shared" si="11"/>
        <v>0.34630807467225677</v>
      </c>
      <c r="I27" s="74">
        <f t="shared" si="11"/>
        <v>0.34357800664813909</v>
      </c>
      <c r="J27" s="74">
        <f t="shared" ref="J27:M27" si="12">J26/J23</f>
        <v>0.36616826404828079</v>
      </c>
      <c r="K27" s="74">
        <f t="shared" si="12"/>
        <v>0.36226382538176172</v>
      </c>
      <c r="L27" s="74">
        <f t="shared" si="12"/>
        <v>0.35494616451670741</v>
      </c>
      <c r="M27" s="74">
        <f t="shared" si="12"/>
        <v>0.36411302268859508</v>
      </c>
      <c r="N27" s="74">
        <f t="shared" ref="N27:O27" si="13">N26/N23</f>
        <v>0.3601746853587145</v>
      </c>
      <c r="O27" s="74">
        <f t="shared" si="13"/>
        <v>0.36330232144897001</v>
      </c>
      <c r="P27" s="74">
        <f t="shared" ref="P27:Q27" si="14">P26/P23</f>
        <v>0.36916268562752286</v>
      </c>
      <c r="Q27" s="74">
        <f t="shared" si="14"/>
        <v>0.3642798048297472</v>
      </c>
      <c r="R27" s="141"/>
    </row>
    <row r="28" spans="1:18" x14ac:dyDescent="0.25">
      <c r="B28" s="50"/>
      <c r="R28" s="141"/>
    </row>
    <row r="29" spans="1:18" ht="13" x14ac:dyDescent="0.3">
      <c r="A29" s="147"/>
      <c r="B29" s="147" t="s">
        <v>75</v>
      </c>
      <c r="C29" s="148">
        <v>26156</v>
      </c>
      <c r="D29" s="148">
        <v>23051</v>
      </c>
      <c r="E29" s="148">
        <v>22820</v>
      </c>
      <c r="F29" s="148">
        <f>G29-SUM(C29:E29)</f>
        <v>25324</v>
      </c>
      <c r="G29" s="148">
        <v>97351</v>
      </c>
      <c r="H29" s="148">
        <v>26703</v>
      </c>
      <c r="I29" s="148">
        <v>27156</v>
      </c>
      <c r="J29" s="148">
        <v>26177</v>
      </c>
      <c r="K29" s="148">
        <f>L29-SUM(H29:J29)</f>
        <v>25958</v>
      </c>
      <c r="L29" s="148">
        <v>105994</v>
      </c>
      <c r="M29" s="148">
        <v>26250</v>
      </c>
      <c r="N29" s="148">
        <v>28098</v>
      </c>
      <c r="O29" s="148">
        <v>30498</v>
      </c>
      <c r="P29" s="148">
        <f>Q29-SUM(M29:O29)</f>
        <v>31560</v>
      </c>
      <c r="Q29" s="148">
        <v>116406</v>
      </c>
      <c r="R29" s="141"/>
    </row>
    <row r="30" spans="1:18" x14ac:dyDescent="0.25">
      <c r="B30" s="50" t="s">
        <v>74</v>
      </c>
      <c r="C30" s="143">
        <v>-0.13576738807203037</v>
      </c>
      <c r="D30" s="143">
        <v>-0.18403539823008852</v>
      </c>
      <c r="E30" s="143">
        <v>-0.16535605866647163</v>
      </c>
      <c r="F30" s="143">
        <v>-4.5457972107048605E-2</v>
      </c>
      <c r="G30" s="143">
        <v>-0.13378000818607305</v>
      </c>
      <c r="H30" s="143">
        <f>H29/C29-1</f>
        <v>2.0912983636641735E-2</v>
      </c>
      <c r="I30" s="143">
        <f>I29/D29-1</f>
        <v>0.17808338033057125</v>
      </c>
      <c r="J30" s="143">
        <f>J29/E29-1</f>
        <v>0.1471078001752848</v>
      </c>
      <c r="K30" s="143">
        <f t="shared" ref="K30" si="15">K29/F29-1</f>
        <v>2.5035539409256069E-2</v>
      </c>
      <c r="L30" s="143">
        <f t="shared" ref="L30" si="16">L29/G29-1</f>
        <v>8.8781830695113584E-2</v>
      </c>
      <c r="M30" s="143">
        <f>M29/H29-1</f>
        <v>-1.6964386024042266E-2</v>
      </c>
      <c r="N30" s="143">
        <f>N29/I29-1</f>
        <v>3.4688466637207149E-2</v>
      </c>
      <c r="O30" s="143">
        <f>O29/J29-1</f>
        <v>0.16506857164686561</v>
      </c>
      <c r="P30" s="143">
        <f>P29/K29-1</f>
        <v>0.215810154865552</v>
      </c>
      <c r="Q30" s="143">
        <f>Q29/L29-1</f>
        <v>9.8231975394833748E-2</v>
      </c>
      <c r="R30" s="141"/>
    </row>
    <row r="31" spans="1:18" x14ac:dyDescent="0.25">
      <c r="B31" s="50" t="s">
        <v>77</v>
      </c>
      <c r="C31" s="143">
        <v>-0.13528861994991015</v>
      </c>
      <c r="D31" s="143">
        <v>-0.18351476682907242</v>
      </c>
      <c r="E31" s="143">
        <v>-0.16443188457151503</v>
      </c>
      <c r="F31" s="143">
        <v>-4.441811054714051E-2</v>
      </c>
      <c r="G31" s="143">
        <v>-0.1330496353975803</v>
      </c>
      <c r="H31" s="143">
        <v>2.1960152872428251E-2</v>
      </c>
      <c r="I31" s="143">
        <v>0.17893810898925566</v>
      </c>
      <c r="J31" s="143">
        <v>0.1475514413969059</v>
      </c>
      <c r="K31" s="143">
        <v>2.5272453156314212E-2</v>
      </c>
      <c r="L31" s="143">
        <v>8.9431347937867667E-2</v>
      </c>
      <c r="M31" s="143">
        <v>-1.6967091702651205E-2</v>
      </c>
      <c r="N31" s="143">
        <v>3.4689135398779491E-2</v>
      </c>
      <c r="O31" s="143">
        <v>0.16508864771273069</v>
      </c>
      <c r="P31" s="143">
        <v>0.21577210604350339</v>
      </c>
      <c r="Q31" s="143">
        <v>9.8227814988833595E-2</v>
      </c>
      <c r="R31" s="141"/>
    </row>
    <row r="32" spans="1:18" x14ac:dyDescent="0.25">
      <c r="B32" s="50" t="s">
        <v>34</v>
      </c>
      <c r="C32" s="144">
        <v>8505</v>
      </c>
      <c r="D32" s="144">
        <v>5357</v>
      </c>
      <c r="E32" s="144">
        <v>5701</v>
      </c>
      <c r="F32" s="144">
        <f>G32-SUM(C32:E32)</f>
        <v>6837</v>
      </c>
      <c r="G32" s="144">
        <v>26400</v>
      </c>
      <c r="H32" s="144">
        <v>7894</v>
      </c>
      <c r="I32" s="145">
        <v>9616</v>
      </c>
      <c r="J32" s="145">
        <v>9644</v>
      </c>
      <c r="K32" s="144">
        <f>L32-SUM(H32:J32)</f>
        <v>9567</v>
      </c>
      <c r="L32" s="145">
        <v>36721</v>
      </c>
      <c r="M32" s="144">
        <v>8933</v>
      </c>
      <c r="N32" s="144">
        <v>9296</v>
      </c>
      <c r="O32" s="144">
        <v>10244</v>
      </c>
      <c r="P32" s="144">
        <f>Q32-SUM(M32:O32)</f>
        <v>9999</v>
      </c>
      <c r="Q32" s="144">
        <v>38472</v>
      </c>
      <c r="R32" s="141"/>
    </row>
    <row r="33" spans="1:18" x14ac:dyDescent="0.25">
      <c r="B33" s="50" t="s">
        <v>36</v>
      </c>
      <c r="C33" s="74">
        <f t="shared" ref="C33:I33" si="17">C32/C29</f>
        <v>0.32516439822602844</v>
      </c>
      <c r="D33" s="74">
        <f t="shared" si="17"/>
        <v>0.23239772677974926</v>
      </c>
      <c r="E33" s="74">
        <f t="shared" si="17"/>
        <v>0.24982471516213847</v>
      </c>
      <c r="F33" s="74">
        <f t="shared" ref="F33" si="18">F32/F29</f>
        <v>0.26998104564839676</v>
      </c>
      <c r="G33" s="74">
        <f t="shared" si="17"/>
        <v>0.27118365502152009</v>
      </c>
      <c r="H33" s="74">
        <f t="shared" si="17"/>
        <v>0.29562221473242706</v>
      </c>
      <c r="I33" s="74">
        <f t="shared" si="17"/>
        <v>0.35410222418618353</v>
      </c>
      <c r="J33" s="74">
        <f t="shared" ref="J33:M33" si="19">J32/J29</f>
        <v>0.36841502081980365</v>
      </c>
      <c r="K33" s="74">
        <f t="shared" si="19"/>
        <v>0.36855689960705756</v>
      </c>
      <c r="L33" s="74">
        <f t="shared" si="19"/>
        <v>0.34644413834745363</v>
      </c>
      <c r="M33" s="74">
        <f t="shared" si="19"/>
        <v>0.34030476190476189</v>
      </c>
      <c r="N33" s="74">
        <f t="shared" ref="N33:O33" si="20">N32/N29</f>
        <v>0.330842052815147</v>
      </c>
      <c r="O33" s="74">
        <f t="shared" si="20"/>
        <v>0.33589087809036661</v>
      </c>
      <c r="P33" s="74">
        <f t="shared" ref="P33:Q33" si="21">P32/P29</f>
        <v>0.31682509505703421</v>
      </c>
      <c r="Q33" s="74">
        <f t="shared" si="21"/>
        <v>0.3304984279160868</v>
      </c>
      <c r="R33" s="141"/>
    </row>
    <row r="34" spans="1:18" x14ac:dyDescent="0.25">
      <c r="B34" s="50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141"/>
    </row>
    <row r="35" spans="1:18" ht="13" x14ac:dyDescent="0.3">
      <c r="A35" s="147"/>
      <c r="B35" s="147" t="s">
        <v>139</v>
      </c>
      <c r="C35" s="148">
        <v>50747</v>
      </c>
      <c r="D35" s="148">
        <v>53873</v>
      </c>
      <c r="E35" s="148">
        <v>56035</v>
      </c>
      <c r="F35" s="148">
        <f>G35-SUM(C35:E35)</f>
        <v>57983</v>
      </c>
      <c r="G35" s="148">
        <v>218638</v>
      </c>
      <c r="H35" s="148">
        <v>66161</v>
      </c>
      <c r="I35" s="148">
        <v>67200</v>
      </c>
      <c r="J35" s="148">
        <v>65316</v>
      </c>
      <c r="K35" s="148">
        <f>L35-SUM(H35:J35)</f>
        <v>67015</v>
      </c>
      <c r="L35" s="148">
        <v>265692</v>
      </c>
      <c r="M35" s="148">
        <v>74392</v>
      </c>
      <c r="N35" s="148">
        <v>77185</v>
      </c>
      <c r="O35" s="148">
        <v>79999</v>
      </c>
      <c r="P35" s="148">
        <f>Q35-SUM(M35:O35)</f>
        <v>80164</v>
      </c>
      <c r="Q35" s="148">
        <v>311740</v>
      </c>
      <c r="R35" s="141"/>
    </row>
    <row r="36" spans="1:18" x14ac:dyDescent="0.25">
      <c r="B36" s="50" t="s">
        <v>74</v>
      </c>
      <c r="C36" s="142">
        <v>0.34721779760008498</v>
      </c>
      <c r="D36" s="142">
        <v>0.32398623740476773</v>
      </c>
      <c r="E36" s="142">
        <v>0.25884573046076431</v>
      </c>
      <c r="F36" s="142">
        <v>0.30695367970246812</v>
      </c>
      <c r="G36" s="142">
        <v>0.30736205123298821</v>
      </c>
      <c r="H36" s="142">
        <f>H35/C35-1</f>
        <v>0.30374209312865785</v>
      </c>
      <c r="I36" s="142">
        <f>I35/D35-1</f>
        <v>0.24737809292224311</v>
      </c>
      <c r="J36" s="143">
        <f>J35/E35-1</f>
        <v>0.16562862496653885</v>
      </c>
      <c r="K36" s="142">
        <f t="shared" ref="K36" si="22">K35/F35-1</f>
        <v>0.15576979459496743</v>
      </c>
      <c r="L36" s="142">
        <f t="shared" ref="L36" si="23">L35/G35-1</f>
        <v>0.21521418966510852</v>
      </c>
      <c r="M36" s="142">
        <f>M35/H35-1</f>
        <v>0.12440863953084147</v>
      </c>
      <c r="N36" s="142">
        <f>N35/I35-1</f>
        <v>0.14858630952380958</v>
      </c>
      <c r="O36" s="142">
        <f>O35/J35-1</f>
        <v>0.22479943658521639</v>
      </c>
      <c r="P36" s="142">
        <f>P35/K35-1</f>
        <v>0.19620980377527419</v>
      </c>
      <c r="Q36" s="142">
        <f>Q35/L35-1</f>
        <v>0.17331346069885423</v>
      </c>
      <c r="R36" s="141"/>
    </row>
    <row r="37" spans="1:18" x14ac:dyDescent="0.25">
      <c r="B37" s="50" t="s">
        <v>77</v>
      </c>
      <c r="C37" s="143">
        <v>0.36164443510882993</v>
      </c>
      <c r="D37" s="143">
        <v>0.36098382483424607</v>
      </c>
      <c r="E37" s="143">
        <v>0.31086442959089888</v>
      </c>
      <c r="F37" s="143">
        <v>0.3583152470456985</v>
      </c>
      <c r="G37" s="143">
        <v>0.34708458121964569</v>
      </c>
      <c r="H37" s="143">
        <v>0.34038310088315971</v>
      </c>
      <c r="I37" s="143">
        <v>0.25399313670169343</v>
      </c>
      <c r="J37" s="143">
        <v>0.14672165384513214</v>
      </c>
      <c r="K37" s="143">
        <v>0.14111137679013397</v>
      </c>
      <c r="L37" s="143">
        <v>0.21661558209284659</v>
      </c>
      <c r="M37" s="143">
        <v>0.11875525609073234</v>
      </c>
      <c r="N37" s="143">
        <v>0.15060409538538755</v>
      </c>
      <c r="O37" s="143">
        <v>0.21687034702300667</v>
      </c>
      <c r="P37" s="143">
        <v>0.19712123355249878</v>
      </c>
      <c r="Q37" s="143">
        <v>0.17069665455809857</v>
      </c>
      <c r="R37" s="141"/>
    </row>
    <row r="38" spans="1:18" x14ac:dyDescent="0.25">
      <c r="B38" s="50" t="s">
        <v>34</v>
      </c>
      <c r="C38" s="144">
        <v>21534</v>
      </c>
      <c r="D38" s="144">
        <v>22659</v>
      </c>
      <c r="E38" s="144">
        <v>23672</v>
      </c>
      <c r="F38" s="144">
        <f>G38-SUM(C38:E38)</f>
        <v>22756</v>
      </c>
      <c r="G38" s="144">
        <v>90621</v>
      </c>
      <c r="H38" s="144">
        <v>30191</v>
      </c>
      <c r="I38" s="145">
        <v>29355</v>
      </c>
      <c r="J38" s="145">
        <v>27717</v>
      </c>
      <c r="K38" s="144">
        <f>L38-SUM(H38:J38)</f>
        <v>27486</v>
      </c>
      <c r="L38" s="145">
        <v>114749</v>
      </c>
      <c r="M38" s="144">
        <v>33413</v>
      </c>
      <c r="N38" s="144">
        <v>32116</v>
      </c>
      <c r="O38" s="144">
        <v>32165</v>
      </c>
      <c r="P38" s="144">
        <f>Q38-SUM(M38:O38)</f>
        <v>32639</v>
      </c>
      <c r="Q38" s="144">
        <v>130333</v>
      </c>
      <c r="R38" s="141"/>
    </row>
    <row r="39" spans="1:18" x14ac:dyDescent="0.25">
      <c r="B39" s="50" t="s">
        <v>36</v>
      </c>
      <c r="C39" s="74">
        <f t="shared" ref="C39:L39" si="24">C38/C35</f>
        <v>0.42434035509488244</v>
      </c>
      <c r="D39" s="74">
        <f t="shared" si="24"/>
        <v>0.42060030070721882</v>
      </c>
      <c r="E39" s="74">
        <f t="shared" ref="E39" si="25">E38/E35</f>
        <v>0.42245025430534489</v>
      </c>
      <c r="F39" s="74">
        <f t="shared" si="24"/>
        <v>0.3924598589241674</v>
      </c>
      <c r="G39" s="74">
        <f t="shared" si="24"/>
        <v>0.41447964214820843</v>
      </c>
      <c r="H39" s="74">
        <f t="shared" si="24"/>
        <v>0.45632623448859599</v>
      </c>
      <c r="I39" s="149">
        <f t="shared" si="24"/>
        <v>0.43683035714285712</v>
      </c>
      <c r="J39" s="149">
        <f t="shared" ref="J39" si="26">J38/J35</f>
        <v>0.42435237920264562</v>
      </c>
      <c r="K39" s="74">
        <f t="shared" si="24"/>
        <v>0.410146982018951</v>
      </c>
      <c r="L39" s="74">
        <f t="shared" si="24"/>
        <v>0.43188729807446213</v>
      </c>
      <c r="M39" s="74">
        <f t="shared" ref="M39:N39" si="27">M38/M35</f>
        <v>0.44914775782342187</v>
      </c>
      <c r="N39" s="74">
        <f t="shared" si="27"/>
        <v>0.41609120943188443</v>
      </c>
      <c r="O39" s="74">
        <f t="shared" ref="O39:P39" si="28">O38/O35</f>
        <v>0.40206752584407307</v>
      </c>
      <c r="P39" s="74">
        <f t="shared" si="28"/>
        <v>0.40715283668479618</v>
      </c>
      <c r="Q39" s="74">
        <f t="shared" ref="Q39" si="29">Q38/Q35</f>
        <v>0.4180823763392571</v>
      </c>
      <c r="R39" s="141"/>
    </row>
    <row r="40" spans="1:18" x14ac:dyDescent="0.25">
      <c r="B40" s="2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41"/>
    </row>
    <row r="41" spans="1:18" ht="13" x14ac:dyDescent="0.3">
      <c r="A41" s="152"/>
      <c r="B41" s="119" t="s">
        <v>104</v>
      </c>
      <c r="C41" s="140">
        <v>149039</v>
      </c>
      <c r="D41" s="140">
        <v>161301</v>
      </c>
      <c r="E41" s="140">
        <v>166298</v>
      </c>
      <c r="F41" s="140">
        <f>G41-SUM(C41:E41)</f>
        <v>170713</v>
      </c>
      <c r="G41" s="140">
        <v>647351</v>
      </c>
      <c r="H41" s="140">
        <v>181842</v>
      </c>
      <c r="I41" s="140">
        <v>182183</v>
      </c>
      <c r="J41" s="140">
        <v>183109</v>
      </c>
      <c r="K41" s="140">
        <f>L41-SUM(H41:J41)</f>
        <v>181993</v>
      </c>
      <c r="L41" s="140">
        <v>729127</v>
      </c>
      <c r="M41" s="140">
        <v>190726</v>
      </c>
      <c r="N41" s="140">
        <v>193786</v>
      </c>
      <c r="O41" s="140">
        <v>204002</v>
      </c>
      <c r="P41" s="140">
        <f>Q41-SUM(M41:O41)</f>
        <v>207684</v>
      </c>
      <c r="Q41" s="153">
        <v>796198</v>
      </c>
      <c r="R41" s="141"/>
    </row>
    <row r="42" spans="1:18" x14ac:dyDescent="0.25">
      <c r="B42" s="50" t="s">
        <v>74</v>
      </c>
      <c r="C42" s="142">
        <v>0.45656847989679639</v>
      </c>
      <c r="D42" s="142">
        <v>0.44787935909519327</v>
      </c>
      <c r="E42" s="142">
        <v>0.38049027502220589</v>
      </c>
      <c r="F42" s="142">
        <v>0.34970193387201332</v>
      </c>
      <c r="G42" s="142">
        <v>0.40523192206168379</v>
      </c>
      <c r="H42" s="142">
        <f>H41/C41-1</f>
        <v>0.22009675319882716</v>
      </c>
      <c r="I42" s="142">
        <f>I41/D41-1</f>
        <v>0.12945982975926995</v>
      </c>
      <c r="J42" s="143">
        <f>J41/E41-1</f>
        <v>0.10108961021780183</v>
      </c>
      <c r="K42" s="142">
        <f t="shared" ref="K42:L42" si="30">K41/F41-1</f>
        <v>6.6075811449626043E-2</v>
      </c>
      <c r="L42" s="142">
        <f t="shared" si="30"/>
        <v>0.12632404985857759</v>
      </c>
      <c r="M42" s="142">
        <f>M41/H41-1</f>
        <v>4.8855599916410863E-2</v>
      </c>
      <c r="N42" s="142">
        <f>N41/I41-1</f>
        <v>6.3688708606181699E-2</v>
      </c>
      <c r="O42" s="142">
        <f>O41/J41-1</f>
        <v>0.1141014368490898</v>
      </c>
      <c r="P42" s="142">
        <f>P41/K41-1</f>
        <v>0.14116477007357431</v>
      </c>
      <c r="Q42" s="142">
        <f>Q41/L41-1</f>
        <v>9.1988089866374523E-2</v>
      </c>
      <c r="R42" s="141"/>
    </row>
    <row r="43" spans="1:18" x14ac:dyDescent="0.25">
      <c r="B43" s="50" t="s">
        <v>77</v>
      </c>
      <c r="C43" s="143">
        <v>0.46000319655332511</v>
      </c>
      <c r="D43" s="143">
        <v>0.45982518231785119</v>
      </c>
      <c r="E43" s="143">
        <v>0.39445060262651221</v>
      </c>
      <c r="F43" s="143">
        <v>0.36177775208904817</v>
      </c>
      <c r="G43" s="143">
        <v>0.41584967954091967</v>
      </c>
      <c r="H43" s="143">
        <v>0.22708642115163968</v>
      </c>
      <c r="I43" s="143">
        <v>0.12810372930601188</v>
      </c>
      <c r="J43" s="143">
        <v>9.4307364295294516E-2</v>
      </c>
      <c r="K43" s="143">
        <v>6.2180304598040692E-2</v>
      </c>
      <c r="L43" s="143">
        <v>0.12482576852105742</v>
      </c>
      <c r="M43" s="143">
        <v>4.6032380477481594E-2</v>
      </c>
      <c r="N43" s="143">
        <v>6.4228835077683399E-2</v>
      </c>
      <c r="O43" s="143">
        <v>0.11253231166890121</v>
      </c>
      <c r="P43" s="143">
        <v>0.14160598149923698</v>
      </c>
      <c r="Q43" s="143">
        <v>9.1134898767386341E-2</v>
      </c>
      <c r="R43" s="141"/>
    </row>
    <row r="44" spans="1:18" x14ac:dyDescent="0.25">
      <c r="B44" s="50" t="s">
        <v>34</v>
      </c>
      <c r="C44" s="144">
        <v>53469</v>
      </c>
      <c r="D44" s="144">
        <v>59647</v>
      </c>
      <c r="E44" s="144">
        <v>60359</v>
      </c>
      <c r="F44" s="144">
        <f>G44-SUM(C44:E44)</f>
        <v>63983</v>
      </c>
      <c r="G44" s="144">
        <v>237458</v>
      </c>
      <c r="H44" s="144">
        <v>67476</v>
      </c>
      <c r="I44" s="145">
        <v>68670</v>
      </c>
      <c r="J44" s="145">
        <v>67674</v>
      </c>
      <c r="K44" s="144">
        <f>L44-SUM(H44:J44)</f>
        <v>64406</v>
      </c>
      <c r="L44" s="145">
        <v>268226</v>
      </c>
      <c r="M44" s="144">
        <v>67890</v>
      </c>
      <c r="N44" s="144">
        <v>71075</v>
      </c>
      <c r="O44" s="144">
        <v>78611</v>
      </c>
      <c r="P44" s="144">
        <f>Q44-SUM(M44:O44)</f>
        <v>80954</v>
      </c>
      <c r="Q44" s="144">
        <v>298530</v>
      </c>
      <c r="R44" s="141"/>
    </row>
    <row r="45" spans="1:18" x14ac:dyDescent="0.25">
      <c r="B45" s="50" t="s">
        <v>36</v>
      </c>
      <c r="C45" s="74">
        <f t="shared" ref="C45" si="31">C44/C41</f>
        <v>0.35875844577593785</v>
      </c>
      <c r="D45" s="74">
        <f t="shared" ref="D45" si="32">D44/D41</f>
        <v>0.36978692010588898</v>
      </c>
      <c r="E45" s="74">
        <f>E44/E41</f>
        <v>0.36295686057559323</v>
      </c>
      <c r="F45" s="74">
        <f t="shared" ref="F45:L45" si="33">F44/F41</f>
        <v>0.37479863865083501</v>
      </c>
      <c r="G45" s="74">
        <f t="shared" si="33"/>
        <v>0.36681491184844078</v>
      </c>
      <c r="H45" s="74">
        <f t="shared" si="33"/>
        <v>0.37106938990992178</v>
      </c>
      <c r="I45" s="74">
        <f t="shared" si="33"/>
        <v>0.37692869257834155</v>
      </c>
      <c r="J45" s="74">
        <f t="shared" ref="J45" si="34">J44/J41</f>
        <v>0.3695831444658646</v>
      </c>
      <c r="K45" s="74">
        <f t="shared" si="33"/>
        <v>0.35389273213804928</v>
      </c>
      <c r="L45" s="74">
        <f t="shared" si="33"/>
        <v>0.36787281228098806</v>
      </c>
      <c r="M45" s="74">
        <f t="shared" ref="M45:N45" si="35">M44/M41</f>
        <v>0.3559556641464719</v>
      </c>
      <c r="N45" s="74">
        <f t="shared" si="35"/>
        <v>0.36677056134086056</v>
      </c>
      <c r="O45" s="74">
        <f t="shared" ref="O45:P45" si="36">O44/O41</f>
        <v>0.38534426133077126</v>
      </c>
      <c r="P45" s="74">
        <f t="shared" si="36"/>
        <v>0.38979411028292982</v>
      </c>
      <c r="Q45" s="74">
        <f t="shared" ref="Q45" si="37">Q44/Q41</f>
        <v>0.37494442337207579</v>
      </c>
      <c r="R45" s="141"/>
    </row>
    <row r="46" spans="1:18" x14ac:dyDescent="0.25">
      <c r="B46" s="50"/>
      <c r="R46" s="141"/>
    </row>
    <row r="47" spans="1:18" ht="13" x14ac:dyDescent="0.3">
      <c r="A47" s="139"/>
      <c r="B47" s="119" t="s">
        <v>177</v>
      </c>
      <c r="C47" s="154">
        <f t="shared" ref="C47:Q47" si="38">+C41+C17</f>
        <v>329208</v>
      </c>
      <c r="D47" s="154">
        <f t="shared" si="38"/>
        <v>346782</v>
      </c>
      <c r="E47" s="154">
        <f t="shared" si="38"/>
        <v>361351</v>
      </c>
      <c r="F47" s="154">
        <f t="shared" si="38"/>
        <v>374703</v>
      </c>
      <c r="G47" s="154">
        <f t="shared" si="38"/>
        <v>1412044</v>
      </c>
      <c r="H47" s="154">
        <f t="shared" si="38"/>
        <v>400643</v>
      </c>
      <c r="I47" s="154">
        <f t="shared" si="38"/>
        <v>404996</v>
      </c>
      <c r="J47" s="154">
        <f t="shared" si="38"/>
        <v>410971</v>
      </c>
      <c r="K47" s="154">
        <f t="shared" si="38"/>
        <v>414058</v>
      </c>
      <c r="L47" s="154">
        <f t="shared" si="38"/>
        <v>1630668</v>
      </c>
      <c r="M47" s="154">
        <f t="shared" si="38"/>
        <v>436507</v>
      </c>
      <c r="N47" s="154">
        <f t="shared" si="38"/>
        <v>448366</v>
      </c>
      <c r="O47" s="154">
        <f t="shared" si="38"/>
        <v>472073</v>
      </c>
      <c r="P47" s="154">
        <f t="shared" si="38"/>
        <v>481426</v>
      </c>
      <c r="Q47" s="154">
        <f t="shared" si="38"/>
        <v>1838372</v>
      </c>
      <c r="R47" s="141"/>
    </row>
    <row r="48" spans="1:18" x14ac:dyDescent="0.25">
      <c r="B48" s="50"/>
      <c r="R48" s="141"/>
    </row>
    <row r="49" spans="1:19" hidden="1" x14ac:dyDescent="0.25">
      <c r="B49" s="50"/>
      <c r="R49" s="141"/>
    </row>
    <row r="50" spans="1:19" hidden="1" x14ac:dyDescent="0.25">
      <c r="B50" s="50"/>
      <c r="R50" s="141"/>
    </row>
    <row r="51" spans="1:19" x14ac:dyDescent="0.25">
      <c r="B51" s="50" t="s">
        <v>217</v>
      </c>
      <c r="R51" s="141"/>
    </row>
    <row r="52" spans="1:19" x14ac:dyDescent="0.25">
      <c r="B52" s="50"/>
      <c r="R52" s="141"/>
    </row>
    <row r="53" spans="1:19" ht="15" x14ac:dyDescent="0.3">
      <c r="B53" s="169" t="s">
        <v>219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141"/>
    </row>
    <row r="54" spans="1:19" ht="13" x14ac:dyDescent="0.3">
      <c r="A54" s="152"/>
      <c r="B54" s="170" t="s">
        <v>76</v>
      </c>
      <c r="C54" s="168">
        <v>135664.43661664976</v>
      </c>
      <c r="D54" s="168">
        <v>141898.90936728878</v>
      </c>
      <c r="E54" s="168">
        <v>149334.60774529996</v>
      </c>
      <c r="F54" s="168">
        <v>155864.80542770005</v>
      </c>
      <c r="G54" s="168">
        <v>582762.75915693864</v>
      </c>
      <c r="H54" s="168">
        <v>163576.43557199984</v>
      </c>
      <c r="I54" s="168">
        <v>164400.45304820029</v>
      </c>
      <c r="J54" s="168">
        <v>170789.64382329999</v>
      </c>
      <c r="K54" s="168">
        <v>174131.52984049957</v>
      </c>
      <c r="L54" s="168">
        <v>672898.06228399975</v>
      </c>
      <c r="M54" s="168">
        <v>183059.98170439992</v>
      </c>
      <c r="N54" s="168">
        <v>185661.29559750002</v>
      </c>
      <c r="O54" s="168">
        <v>197045.9451325</v>
      </c>
      <c r="P54" s="168">
        <v>201548.44737689948</v>
      </c>
      <c r="Q54" s="174">
        <v>767315.66981129942</v>
      </c>
      <c r="R54" s="141"/>
      <c r="S54" s="146"/>
    </row>
    <row r="55" spans="1:19" x14ac:dyDescent="0.25">
      <c r="A55" s="155"/>
      <c r="B55" s="32" t="s">
        <v>64</v>
      </c>
      <c r="C55" s="156">
        <f>C54/C$47</f>
        <v>0.4120933774897626</v>
      </c>
      <c r="D55" s="156">
        <f>D54/D$47</f>
        <v>0.40918764343965019</v>
      </c>
      <c r="E55" s="156">
        <f>E54/E$47</f>
        <v>0.41326745393066566</v>
      </c>
      <c r="F55" s="156">
        <f>F54/$F$47</f>
        <v>0.41596892853193074</v>
      </c>
      <c r="G55" s="156">
        <f t="shared" ref="G55:L55" si="39">G54/G$47</f>
        <v>0.41270864021017661</v>
      </c>
      <c r="H55" s="156">
        <f t="shared" si="39"/>
        <v>0.40828477116035933</v>
      </c>
      <c r="I55" s="156">
        <f t="shared" si="39"/>
        <v>0.4059310537590502</v>
      </c>
      <c r="J55" s="156">
        <f t="shared" si="39"/>
        <v>0.41557590151932861</v>
      </c>
      <c r="K55" s="156">
        <f t="shared" si="39"/>
        <v>0.42054864255852942</v>
      </c>
      <c r="L55" s="156">
        <f t="shared" si="39"/>
        <v>0.41265178582274242</v>
      </c>
      <c r="M55" s="156">
        <f t="shared" ref="M55:N55" si="40">M54/M$47</f>
        <v>0.41937467601756656</v>
      </c>
      <c r="N55" s="156">
        <f t="shared" si="40"/>
        <v>0.41408424277822142</v>
      </c>
      <c r="O55" s="156">
        <f t="shared" ref="O55:P55" si="41">O54/O$47</f>
        <v>0.4174056663535089</v>
      </c>
      <c r="P55" s="156">
        <f t="shared" si="41"/>
        <v>0.41864886270558604</v>
      </c>
      <c r="Q55" s="156">
        <f t="shared" ref="Q55" si="42">Q54/Q$47</f>
        <v>0.41738868401569401</v>
      </c>
      <c r="R55" s="141"/>
    </row>
    <row r="56" spans="1:19" x14ac:dyDescent="0.25">
      <c r="A56" s="155"/>
      <c r="B56" s="32" t="s">
        <v>62</v>
      </c>
      <c r="C56" s="157">
        <v>6.2061716192694183E-2</v>
      </c>
      <c r="D56" s="157">
        <f>D54/C54-1</f>
        <v>4.5955099996146442E-2</v>
      </c>
      <c r="E56" s="157">
        <f>E54/D54-1</f>
        <v>5.2401377932826287E-2</v>
      </c>
      <c r="F56" s="157">
        <f>F54/E54-1</f>
        <v>4.3728629156998711E-2</v>
      </c>
      <c r="G56" s="157" t="s">
        <v>41</v>
      </c>
      <c r="H56" s="157">
        <f>H54/F54-1</f>
        <v>4.9476404395069951E-2</v>
      </c>
      <c r="I56" s="157">
        <f>I54/H54-1</f>
        <v>5.0375072260193665E-3</v>
      </c>
      <c r="J56" s="157">
        <f>J54/I54-1</f>
        <v>3.8863583747098751E-2</v>
      </c>
      <c r="K56" s="157">
        <f>K54/J54-1</f>
        <v>1.9567263812887425E-2</v>
      </c>
      <c r="L56" s="157" t="s">
        <v>41</v>
      </c>
      <c r="M56" s="157">
        <f>M54/K54-1</f>
        <v>5.1274182636990684E-2</v>
      </c>
      <c r="N56" s="157">
        <f>N54/M54-1</f>
        <v>1.421017236470945E-2</v>
      </c>
      <c r="O56" s="157">
        <f>O54/N54-1</f>
        <v>6.1319455400554057E-2</v>
      </c>
      <c r="P56" s="157">
        <f>P54/O54-1</f>
        <v>2.2850012170368972E-2</v>
      </c>
      <c r="Q56" s="157" t="s">
        <v>41</v>
      </c>
      <c r="R56" s="141"/>
    </row>
    <row r="57" spans="1:19" x14ac:dyDescent="0.25">
      <c r="A57" s="155"/>
      <c r="B57" s="32" t="s">
        <v>63</v>
      </c>
      <c r="C57" s="156">
        <v>0.14611701730282967</v>
      </c>
      <c r="D57" s="156">
        <v>0.15371628369232249</v>
      </c>
      <c r="E57" s="156">
        <v>0.1608512754170397</v>
      </c>
      <c r="F57" s="156">
        <v>0.22020219060318857</v>
      </c>
      <c r="G57" s="156">
        <v>0.17081563958520829</v>
      </c>
      <c r="H57" s="156">
        <f>H54/C54-1</f>
        <v>0.20574293198313787</v>
      </c>
      <c r="I57" s="156">
        <f t="shared" ref="I57:K57" si="43">I54/D54-1</f>
        <v>0.15857446530944697</v>
      </c>
      <c r="J57" s="156">
        <f t="shared" si="43"/>
        <v>0.14367089050512005</v>
      </c>
      <c r="K57" s="156">
        <f t="shared" si="43"/>
        <v>0.1171959530098845</v>
      </c>
      <c r="L57" s="156">
        <f t="shared" ref="L57" si="44">L54/G54-1</f>
        <v>0.15466894840270262</v>
      </c>
      <c r="M57" s="156">
        <f>M54/H54-1</f>
        <v>0.11910973646215806</v>
      </c>
      <c r="N57" s="156">
        <f>N54/I54-1</f>
        <v>0.12932350340340193</v>
      </c>
      <c r="O57" s="156">
        <f>O54/J54-1</f>
        <v>0.15373473895387324</v>
      </c>
      <c r="P57" s="156">
        <f>P54/K54-1</f>
        <v>0.15744947259989717</v>
      </c>
      <c r="Q57" s="156">
        <f>Q54/L54-1</f>
        <v>0.14031487504484774</v>
      </c>
      <c r="R57" s="141"/>
    </row>
    <row r="58" spans="1:19" ht="13" x14ac:dyDescent="0.3">
      <c r="A58" s="152"/>
      <c r="B58" s="170" t="s">
        <v>75</v>
      </c>
      <c r="C58" s="168">
        <v>69547.860097327924</v>
      </c>
      <c r="D58" s="168">
        <v>71490.34009854187</v>
      </c>
      <c r="E58" s="168">
        <v>71740.345549999998</v>
      </c>
      <c r="F58" s="168">
        <v>76797.260920000001</v>
      </c>
      <c r="G58" s="168">
        <v>289575.80666586978</v>
      </c>
      <c r="H58" s="168">
        <v>82849.84683000001</v>
      </c>
      <c r="I58" s="168">
        <v>88182.248660000012</v>
      </c>
      <c r="J58" s="168">
        <v>92270.661389999994</v>
      </c>
      <c r="K58" s="168">
        <v>93838.342999999979</v>
      </c>
      <c r="L58" s="168">
        <v>357141.09987999994</v>
      </c>
      <c r="M58" s="168">
        <v>97809.712980000011</v>
      </c>
      <c r="N58" s="168">
        <v>102955.02627000002</v>
      </c>
      <c r="O58" s="168">
        <v>108133.44466000002</v>
      </c>
      <c r="P58" s="168">
        <v>109749.13604</v>
      </c>
      <c r="Q58" s="174">
        <v>418647.31995000003</v>
      </c>
      <c r="R58" s="141"/>
      <c r="S58" s="146"/>
    </row>
    <row r="59" spans="1:19" x14ac:dyDescent="0.25">
      <c r="A59" s="155"/>
      <c r="B59" s="32" t="s">
        <v>64</v>
      </c>
      <c r="C59" s="156">
        <f>+C58/C$47</f>
        <v>0.21125811066963113</v>
      </c>
      <c r="D59" s="156">
        <f>D58/D$47</f>
        <v>0.20615354919961784</v>
      </c>
      <c r="E59" s="156">
        <f>E58/E$47</f>
        <v>0.19853368483828743</v>
      </c>
      <c r="F59" s="156">
        <f t="shared" ref="F59:L59" si="45">+F58/F$47</f>
        <v>0.20495502016263548</v>
      </c>
      <c r="G59" s="156">
        <f t="shared" si="45"/>
        <v>0.2050756255937278</v>
      </c>
      <c r="H59" s="156">
        <f t="shared" si="45"/>
        <v>0.20679219861572526</v>
      </c>
      <c r="I59" s="156">
        <f t="shared" si="45"/>
        <v>0.21773609778862016</v>
      </c>
      <c r="J59" s="156">
        <f t="shared" si="45"/>
        <v>0.22451866771621354</v>
      </c>
      <c r="K59" s="156">
        <f t="shared" si="45"/>
        <v>0.22663091402653729</v>
      </c>
      <c r="L59" s="156">
        <f t="shared" si="45"/>
        <v>0.21901521332361948</v>
      </c>
      <c r="M59" s="156">
        <f t="shared" ref="M59:N59" si="46">+M58/M$47</f>
        <v>0.22407364138490335</v>
      </c>
      <c r="N59" s="156">
        <f t="shared" si="46"/>
        <v>0.22962273292354909</v>
      </c>
      <c r="O59" s="156">
        <f t="shared" ref="O59:P59" si="47">+O58/O$47</f>
        <v>0.22906085427465672</v>
      </c>
      <c r="P59" s="156">
        <f t="shared" si="47"/>
        <v>0.22796678210150678</v>
      </c>
      <c r="Q59" s="156">
        <f t="shared" ref="Q59" si="48">+Q58/Q$47</f>
        <v>0.22772720643591179</v>
      </c>
      <c r="R59" s="141"/>
    </row>
    <row r="60" spans="1:19" x14ac:dyDescent="0.25">
      <c r="A60" s="155"/>
      <c r="B60" s="32" t="s">
        <v>62</v>
      </c>
      <c r="C60" s="157">
        <v>2.8000106649609391E-2</v>
      </c>
      <c r="D60" s="157">
        <f>D58/C58-1</f>
        <v>2.7930118892163902E-2</v>
      </c>
      <c r="E60" s="157">
        <f>E58/D58-1</f>
        <v>3.4970522047248487E-3</v>
      </c>
      <c r="F60" s="157">
        <f>F58/E58-1</f>
        <v>7.0489141517663167E-2</v>
      </c>
      <c r="G60" s="157" t="s">
        <v>41</v>
      </c>
      <c r="H60" s="157">
        <f>H58/F58-1</f>
        <v>7.8812523226642339E-2</v>
      </c>
      <c r="I60" s="157">
        <f>I58/H58-1</f>
        <v>6.4362241259680042E-2</v>
      </c>
      <c r="J60" s="157">
        <f>J58/I58-1</f>
        <v>4.6363216998054568E-2</v>
      </c>
      <c r="K60" s="157">
        <f>K58/J58-1</f>
        <v>1.6990033304019381E-2</v>
      </c>
      <c r="L60" s="157" t="s">
        <v>41</v>
      </c>
      <c r="M60" s="157">
        <f>M58/K58-1</f>
        <v>4.2321399260002224E-2</v>
      </c>
      <c r="N60" s="157">
        <f>N58/M58-1</f>
        <v>5.2605340852519555E-2</v>
      </c>
      <c r="O60" s="157">
        <f>O58/N58-1</f>
        <v>5.0297868667621648E-2</v>
      </c>
      <c r="P60" s="157">
        <f>P58/O58-1</f>
        <v>1.4941643495036461E-2</v>
      </c>
      <c r="Q60" s="157" t="s">
        <v>41</v>
      </c>
      <c r="R60" s="141"/>
    </row>
    <row r="61" spans="1:19" x14ac:dyDescent="0.25">
      <c r="A61" s="155"/>
      <c r="B61" s="32" t="s">
        <v>63</v>
      </c>
      <c r="C61" s="156">
        <v>0.1171099016857613</v>
      </c>
      <c r="D61" s="156">
        <v>0.10754735288305128</v>
      </c>
      <c r="E61" s="156">
        <v>9.23286908628842E-2</v>
      </c>
      <c r="F61" s="156">
        <v>0.13515487472476662</v>
      </c>
      <c r="G61" s="156">
        <v>0.11317355209670166</v>
      </c>
      <c r="H61" s="156">
        <f>H58/C58-1</f>
        <v>0.19126378171890224</v>
      </c>
      <c r="I61" s="156">
        <f t="shared" ref="I61:J61" si="49">I58/D58-1</f>
        <v>0.23348481121295706</v>
      </c>
      <c r="J61" s="156">
        <f t="shared" si="49"/>
        <v>0.2861753129651603</v>
      </c>
      <c r="K61" s="156">
        <f t="shared" ref="K61" si="50">K58/F58-1</f>
        <v>0.2218970035630794</v>
      </c>
      <c r="L61" s="156">
        <f t="shared" ref="L61" si="51">L58/G58-1</f>
        <v>0.23332506258746655</v>
      </c>
      <c r="M61" s="156">
        <f>M58/H58-1</f>
        <v>0.18056600853706128</v>
      </c>
      <c r="N61" s="156">
        <f>N58/I58-1</f>
        <v>0.16752552621966665</v>
      </c>
      <c r="O61" s="156">
        <f>O58/J58-1</f>
        <v>0.17191578591761547</v>
      </c>
      <c r="P61" s="156">
        <f>P58/K58-1</f>
        <v>0.16955534945880313</v>
      </c>
      <c r="Q61" s="156">
        <f>Q58/L58-1</f>
        <v>0.1722182635677223</v>
      </c>
      <c r="R61" s="141"/>
    </row>
    <row r="62" spans="1:19" ht="13" x14ac:dyDescent="0.3">
      <c r="A62" s="152"/>
      <c r="B62" s="170" t="s">
        <v>102</v>
      </c>
      <c r="C62" s="168">
        <v>123995.45277107442</v>
      </c>
      <c r="D62" s="168">
        <v>133393.1215039602</v>
      </c>
      <c r="E62" s="168">
        <v>140276.30279210003</v>
      </c>
      <c r="F62" s="168">
        <v>142040.53426130002</v>
      </c>
      <c r="G62" s="168">
        <v>539705.41132843459</v>
      </c>
      <c r="H62" s="168">
        <v>154216.77565230004</v>
      </c>
      <c r="I62" s="168">
        <v>152413.46229310002</v>
      </c>
      <c r="J62" s="168">
        <v>147910.47379330007</v>
      </c>
      <c r="K62" s="168">
        <v>146088.11682519998</v>
      </c>
      <c r="L62" s="168">
        <v>600628.82856390008</v>
      </c>
      <c r="M62" s="168">
        <v>155637.76303360003</v>
      </c>
      <c r="N62" s="168">
        <v>159749.21223940016</v>
      </c>
      <c r="O62" s="168">
        <v>166894.03760399998</v>
      </c>
      <c r="P62" s="168">
        <v>170127.54717239991</v>
      </c>
      <c r="Q62" s="174">
        <v>652408.56004940008</v>
      </c>
      <c r="R62" s="141"/>
      <c r="S62" s="146"/>
    </row>
    <row r="63" spans="1:19" x14ac:dyDescent="0.25">
      <c r="A63" s="155"/>
      <c r="B63" s="32" t="s">
        <v>64</v>
      </c>
      <c r="C63" s="156">
        <f>+C62/C$47</f>
        <v>0.37664775087809049</v>
      </c>
      <c r="D63" s="156">
        <f>D62/D$47</f>
        <v>0.38465987711000049</v>
      </c>
      <c r="E63" s="156">
        <f>E62/E$47</f>
        <v>0.38819956992536353</v>
      </c>
      <c r="F63" s="156">
        <f t="shared" ref="F63:I63" si="52">+F62/F$47</f>
        <v>0.37907498541858492</v>
      </c>
      <c r="G63" s="156">
        <f t="shared" si="52"/>
        <v>0.38221571801476056</v>
      </c>
      <c r="H63" s="156">
        <f t="shared" si="52"/>
        <v>0.38492317512673391</v>
      </c>
      <c r="I63" s="156">
        <f t="shared" si="52"/>
        <v>0.37633325339781137</v>
      </c>
      <c r="J63" s="156">
        <f t="shared" ref="J63:M63" si="53">+J62/J$47</f>
        <v>0.35990489302967865</v>
      </c>
      <c r="K63" s="156">
        <f t="shared" si="53"/>
        <v>0.35282041845635148</v>
      </c>
      <c r="L63" s="156">
        <f t="shared" si="53"/>
        <v>0.36833299516756329</v>
      </c>
      <c r="M63" s="156">
        <f t="shared" si="53"/>
        <v>0.356552731190107</v>
      </c>
      <c r="N63" s="156">
        <f t="shared" ref="N63:O63" si="54">+N62/N$47</f>
        <v>0.35629198520717487</v>
      </c>
      <c r="O63" s="156">
        <f t="shared" si="54"/>
        <v>0.35353438473286969</v>
      </c>
      <c r="P63" s="156">
        <f t="shared" ref="P63:Q63" si="55">+P62/P$47</f>
        <v>0.35338254928566365</v>
      </c>
      <c r="Q63" s="156">
        <f t="shared" si="55"/>
        <v>0.35488386466362631</v>
      </c>
      <c r="R63" s="141"/>
    </row>
    <row r="64" spans="1:19" x14ac:dyDescent="0.25">
      <c r="A64" s="155"/>
      <c r="B64" s="32" t="s">
        <v>62</v>
      </c>
      <c r="C64" s="156">
        <v>0.23872992192376419</v>
      </c>
      <c r="D64" s="157">
        <f>D62/C62-1</f>
        <v>7.579043039776745E-2</v>
      </c>
      <c r="E64" s="157">
        <f>E62/D62-1</f>
        <v>5.1600721315570031E-2</v>
      </c>
      <c r="F64" s="156">
        <f>F62/E62-1</f>
        <v>1.2576831824650414E-2</v>
      </c>
      <c r="G64" s="157" t="s">
        <v>41</v>
      </c>
      <c r="H64" s="157">
        <f>H62/F62-1</f>
        <v>8.5723708759081418E-2</v>
      </c>
      <c r="I64" s="157">
        <f>I62/H62-1</f>
        <v>-1.1693367025555013E-2</v>
      </c>
      <c r="J64" s="157">
        <f>J62/I62-1</f>
        <v>-2.9544558807675592E-2</v>
      </c>
      <c r="K64" s="156">
        <f>K62/J62-1</f>
        <v>-1.2320675617919941E-2</v>
      </c>
      <c r="L64" s="157" t="s">
        <v>41</v>
      </c>
      <c r="M64" s="157">
        <f>M62/K62-1</f>
        <v>6.536908282435161E-2</v>
      </c>
      <c r="N64" s="157">
        <f>N62/M62-1</f>
        <v>2.6416784240933522E-2</v>
      </c>
      <c r="O64" s="157">
        <f>O62/N62-1</f>
        <v>4.4725261955549378E-2</v>
      </c>
      <c r="P64" s="157">
        <f>P62/O62-1</f>
        <v>1.9374626049087906E-2</v>
      </c>
      <c r="Q64" s="157" t="s">
        <v>41</v>
      </c>
      <c r="R64" s="141"/>
    </row>
    <row r="65" spans="1:18" x14ac:dyDescent="0.25">
      <c r="A65" s="155"/>
      <c r="B65" s="32" t="s">
        <v>63</v>
      </c>
      <c r="C65" s="156">
        <v>0.53480854547853474</v>
      </c>
      <c r="D65" s="156">
        <v>0.52409418503697114</v>
      </c>
      <c r="E65" s="156">
        <v>0.46111430992157687</v>
      </c>
      <c r="F65" s="156">
        <v>0.41900251971623437</v>
      </c>
      <c r="G65" s="156">
        <v>0.48101050689351599</v>
      </c>
      <c r="H65" s="156">
        <f>H62/C62-1</f>
        <v>0.24372928366188962</v>
      </c>
      <c r="I65" s="156">
        <f t="shared" ref="I65:J65" si="56">I62/D62-1</f>
        <v>0.14258861757407137</v>
      </c>
      <c r="J65" s="156">
        <f t="shared" si="56"/>
        <v>5.4422385315604282E-2</v>
      </c>
      <c r="K65" s="156">
        <f t="shared" ref="K65" si="57">K62/F62-1</f>
        <v>2.8495968316015752E-2</v>
      </c>
      <c r="L65" s="156">
        <f>L62/G62-1</f>
        <v>0.11288272445797443</v>
      </c>
      <c r="M65" s="156">
        <f t="shared" ref="M65:Q65" si="58">M62/H62-1</f>
        <v>9.2142205365761676E-3</v>
      </c>
      <c r="N65" s="156">
        <f t="shared" si="58"/>
        <v>4.8130590539259943E-2</v>
      </c>
      <c r="O65" s="156">
        <f t="shared" si="58"/>
        <v>0.12834495978444904</v>
      </c>
      <c r="P65" s="156">
        <f t="shared" si="58"/>
        <v>0.16455431741901383</v>
      </c>
      <c r="Q65" s="156">
        <f t="shared" si="58"/>
        <v>8.6209201128931934E-2</v>
      </c>
      <c r="R65" s="141"/>
    </row>
    <row r="66" spans="1:18" x14ac:dyDescent="0.25">
      <c r="A66" s="155"/>
      <c r="B66" s="32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41"/>
    </row>
    <row r="67" spans="1:18" x14ac:dyDescent="0.25">
      <c r="B67" s="50"/>
      <c r="R67" s="141"/>
    </row>
    <row r="68" spans="1:18" ht="13" x14ac:dyDescent="0.3">
      <c r="A68" s="139"/>
      <c r="B68" s="119" t="s">
        <v>42</v>
      </c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41"/>
    </row>
    <row r="69" spans="1:18" x14ac:dyDescent="0.25">
      <c r="B69" s="50" t="s">
        <v>43</v>
      </c>
      <c r="C69" s="158">
        <v>0.85775195649255742</v>
      </c>
      <c r="D69" s="158">
        <v>0.86082951267316399</v>
      </c>
      <c r="E69" s="158">
        <v>0.85969496377656596</v>
      </c>
      <c r="F69" s="158">
        <v>0.85915004044672627</v>
      </c>
      <c r="G69" s="158">
        <v>0.8593761950760741</v>
      </c>
      <c r="H69" s="158">
        <v>0.84632203732500011</v>
      </c>
      <c r="I69" s="158">
        <v>0.84118114746812311</v>
      </c>
      <c r="J69" s="158">
        <v>0.83493725834669597</v>
      </c>
      <c r="K69" s="158">
        <v>0.84003506026047547</v>
      </c>
      <c r="L69" s="158">
        <v>0.84057982258878183</v>
      </c>
      <c r="M69" s="158">
        <v>0.83001082194935982</v>
      </c>
      <c r="N69" s="158">
        <v>0.82689024038328585</v>
      </c>
      <c r="O69" s="158">
        <v>0.82204887103347113</v>
      </c>
      <c r="P69" s="158">
        <v>0.82623647087036223</v>
      </c>
      <c r="Q69" s="158">
        <v>0.82621678252343755</v>
      </c>
      <c r="R69" s="141"/>
    </row>
    <row r="70" spans="1:18" x14ac:dyDescent="0.25">
      <c r="B70" s="50" t="s">
        <v>44</v>
      </c>
      <c r="C70" s="158">
        <v>9.9550595682622325E-2</v>
      </c>
      <c r="D70" s="158">
        <v>9.2536940797546763E-2</v>
      </c>
      <c r="E70" s="158">
        <v>9.4454488940220349E-2</v>
      </c>
      <c r="F70" s="158">
        <v>9.5104275923194911E-2</v>
      </c>
      <c r="G70" s="158">
        <v>9.5344054434564368E-2</v>
      </c>
      <c r="H70" s="158">
        <v>0.10376819263034671</v>
      </c>
      <c r="I70" s="158">
        <v>0.107773903939792</v>
      </c>
      <c r="J70" s="158">
        <v>0.11272571543977555</v>
      </c>
      <c r="K70" s="158">
        <v>0.11092595693754125</v>
      </c>
      <c r="L70" s="158">
        <v>0.10883835725674143</v>
      </c>
      <c r="M70" s="158">
        <v>0.11546664829273695</v>
      </c>
      <c r="N70" s="158">
        <v>0.11813254007000418</v>
      </c>
      <c r="O70" s="158">
        <v>0.12000201498229983</v>
      </c>
      <c r="P70" s="158">
        <v>0.11619650753071704</v>
      </c>
      <c r="Q70" s="158">
        <v>0.11747260441598109</v>
      </c>
      <c r="R70" s="141"/>
    </row>
    <row r="71" spans="1:18" x14ac:dyDescent="0.25">
      <c r="B71" s="50" t="s">
        <v>68</v>
      </c>
      <c r="C71" s="158">
        <v>4.2697447824820427E-2</v>
      </c>
      <c r="D71" s="158">
        <v>4.6633546529289263E-2</v>
      </c>
      <c r="E71" s="158">
        <v>4.5850547283213784E-2</v>
      </c>
      <c r="F71" s="158">
        <v>4.5745683630078825E-2</v>
      </c>
      <c r="G71" s="158">
        <v>4.5279750489361524E-2</v>
      </c>
      <c r="H71" s="158">
        <v>4.9909770044653218E-2</v>
      </c>
      <c r="I71" s="158">
        <v>5.104494859208486E-2</v>
      </c>
      <c r="J71" s="158">
        <v>5.2337026213528447E-2</v>
      </c>
      <c r="K71" s="158">
        <v>4.903898280198337E-2</v>
      </c>
      <c r="L71" s="158">
        <v>5.058182015447673E-2</v>
      </c>
      <c r="M71" s="158">
        <v>5.4522529757903282E-2</v>
      </c>
      <c r="N71" s="158">
        <v>5.4977219546710046E-2</v>
      </c>
      <c r="O71" s="158">
        <v>5.7949113984229091E-2</v>
      </c>
      <c r="P71" s="158">
        <v>5.7567021598920708E-2</v>
      </c>
      <c r="Q71" s="158">
        <v>5.6310613060581251E-2</v>
      </c>
      <c r="R71" s="141"/>
    </row>
    <row r="72" spans="1:18" x14ac:dyDescent="0.25">
      <c r="B72" s="2"/>
      <c r="R72" s="141"/>
    </row>
    <row r="73" spans="1:18" x14ac:dyDescent="0.25">
      <c r="R73" s="141"/>
    </row>
    <row r="74" spans="1:18" x14ac:dyDescent="0.25">
      <c r="B74" s="2" t="s">
        <v>220</v>
      </c>
      <c r="R74" s="141"/>
    </row>
    <row r="75" spans="1:18" x14ac:dyDescent="0.25">
      <c r="B75" s="2" t="s">
        <v>190</v>
      </c>
      <c r="R75" s="141"/>
    </row>
  </sheetData>
  <mergeCells count="5">
    <mergeCell ref="M2:Q2"/>
    <mergeCell ref="H2:L2"/>
    <mergeCell ref="A5:B5"/>
    <mergeCell ref="A6:B6"/>
    <mergeCell ref="C2:G2"/>
  </mergeCells>
  <hyperlinks>
    <hyperlink ref="Q1" location="Contents!B7" display="Back" xr:uid="{CB2A44B7-AC07-460C-B20C-F87807C89B16}"/>
  </hyperlinks>
  <pageMargins left="0.7" right="0.7" top="0.35" bottom="1.25" header="0.55000000000000004" footer="0.3"/>
  <pageSetup paperSize="9" scale="54" fitToWidth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998DB-3937-45D4-A4CC-53089E86B908}">
  <sheetPr>
    <tabColor rgb="FF92D050"/>
    <pageSetUpPr fitToPage="1"/>
  </sheetPr>
  <dimension ref="A1:AA100"/>
  <sheetViews>
    <sheetView showGridLines="0" tabSelected="1" view="pageBreakPreview" zoomScale="80" zoomScaleNormal="61" zoomScaleSheetLayoutView="80" workbookViewId="0">
      <pane xSplit="2" ySplit="5" topLeftCell="L6" activePane="bottomRight" state="frozen"/>
      <selection activeCell="B1" sqref="B1"/>
      <selection pane="topRight" activeCell="B1" sqref="B1"/>
      <selection pane="bottomLeft" activeCell="B1" sqref="B1"/>
      <selection pane="bottomRight" activeCell="X8" sqref="X8"/>
    </sheetView>
  </sheetViews>
  <sheetFormatPr defaultColWidth="9.1796875" defaultRowHeight="14.5" outlineLevelCol="1" x14ac:dyDescent="0.35"/>
  <cols>
    <col min="1" max="1" width="2.453125" style="5" customWidth="1"/>
    <col min="2" max="2" width="48.26953125" style="132" bestFit="1" customWidth="1"/>
    <col min="3" max="6" width="10.7265625" style="132" hidden="1" customWidth="1" outlineLevel="1"/>
    <col min="7" max="7" width="12.26953125" style="132" hidden="1" customWidth="1" outlineLevel="1"/>
    <col min="8" max="8" width="10.7265625" style="132" hidden="1" customWidth="1" outlineLevel="1" collapsed="1"/>
    <col min="9" max="11" width="10.7265625" style="132" hidden="1" customWidth="1" outlineLevel="1"/>
    <col min="12" max="12" width="12.26953125" style="132" bestFit="1" customWidth="1" collapsed="1"/>
    <col min="13" max="16" width="10.7265625" style="132" hidden="1" customWidth="1" outlineLevel="1"/>
    <col min="17" max="17" width="12.26953125" style="132" bestFit="1" customWidth="1" collapsed="1"/>
    <col min="18" max="18" width="10.7265625" style="132" hidden="1" customWidth="1" outlineLevel="1"/>
    <col min="19" max="19" width="11.26953125" style="132" hidden="1" customWidth="1" outlineLevel="1"/>
    <col min="20" max="20" width="11" style="132" hidden="1" customWidth="1" outlineLevel="1"/>
    <col min="21" max="21" width="13" style="132" hidden="1" customWidth="1" outlineLevel="1"/>
    <col min="22" max="22" width="12.26953125" style="132" bestFit="1" customWidth="1" collapsed="1"/>
    <col min="23" max="25" width="12.26953125" style="132" customWidth="1"/>
    <col min="26" max="26" width="11.81640625" bestFit="1" customWidth="1"/>
    <col min="28" max="16384" width="9.1796875" style="132"/>
  </cols>
  <sheetData>
    <row r="1" spans="1:27" ht="15" thickBot="1" x14ac:dyDescent="0.4">
      <c r="A1" s="5" t="s">
        <v>81</v>
      </c>
      <c r="B1" s="2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U1" s="95"/>
      <c r="V1" s="205" t="s">
        <v>162</v>
      </c>
      <c r="W1" s="206"/>
      <c r="X1" s="206"/>
      <c r="Y1" s="206"/>
    </row>
    <row r="2" spans="1:27" ht="15" customHeight="1" thickBot="1" x14ac:dyDescent="0.4">
      <c r="B2" s="2"/>
      <c r="C2" s="215">
        <v>2022</v>
      </c>
      <c r="D2" s="216"/>
      <c r="E2" s="216"/>
      <c r="F2" s="216"/>
      <c r="G2" s="217"/>
      <c r="H2" s="215">
        <v>2023</v>
      </c>
      <c r="I2" s="216"/>
      <c r="J2" s="216"/>
      <c r="K2" s="216"/>
      <c r="L2" s="217"/>
      <c r="M2" s="215">
        <v>2024</v>
      </c>
      <c r="N2" s="216"/>
      <c r="O2" s="216"/>
      <c r="P2" s="216"/>
      <c r="Q2" s="217"/>
      <c r="R2" s="215">
        <v>2025</v>
      </c>
      <c r="S2" s="216"/>
      <c r="T2" s="216"/>
      <c r="U2" s="216"/>
      <c r="V2" s="216"/>
      <c r="W2" s="219">
        <v>2026</v>
      </c>
      <c r="X2" s="220"/>
      <c r="Y2" s="221"/>
    </row>
    <row r="3" spans="1:27" s="137" customFormat="1" ht="15.75" customHeight="1" thickBot="1" x14ac:dyDescent="0.4">
      <c r="A3" s="133"/>
      <c r="B3" s="134"/>
      <c r="C3" s="136">
        <v>2022</v>
      </c>
      <c r="D3" s="136">
        <v>2022</v>
      </c>
      <c r="E3" s="136">
        <v>2022</v>
      </c>
      <c r="F3" s="136">
        <v>2022</v>
      </c>
      <c r="G3" s="136">
        <v>2022</v>
      </c>
      <c r="H3" s="135">
        <v>2023</v>
      </c>
      <c r="I3" s="135">
        <v>2023</v>
      </c>
      <c r="J3" s="135">
        <v>2023</v>
      </c>
      <c r="K3" s="135">
        <v>2023</v>
      </c>
      <c r="L3" s="135">
        <v>2023</v>
      </c>
      <c r="M3" s="136">
        <v>2024</v>
      </c>
      <c r="N3" s="136">
        <v>2024</v>
      </c>
      <c r="O3" s="136">
        <v>2024</v>
      </c>
      <c r="P3" s="136">
        <v>2024</v>
      </c>
      <c r="Q3" s="136">
        <v>2024</v>
      </c>
      <c r="R3" s="136">
        <v>2025</v>
      </c>
      <c r="S3" s="136">
        <v>2025</v>
      </c>
      <c r="T3" s="136">
        <v>2025</v>
      </c>
      <c r="U3" s="136">
        <v>2025</v>
      </c>
      <c r="V3" s="210">
        <v>2025</v>
      </c>
      <c r="W3" s="136">
        <v>2026</v>
      </c>
      <c r="X3" s="210">
        <v>2026</v>
      </c>
      <c r="Y3" s="210">
        <v>2026</v>
      </c>
      <c r="Z3"/>
      <c r="AA3"/>
    </row>
    <row r="4" spans="1:27" x14ac:dyDescent="0.35">
      <c r="B4" s="2"/>
      <c r="C4" s="4" t="s">
        <v>4</v>
      </c>
      <c r="D4" s="4" t="s">
        <v>5</v>
      </c>
      <c r="E4" s="4" t="s">
        <v>6</v>
      </c>
      <c r="F4" s="4" t="s">
        <v>7</v>
      </c>
      <c r="G4" s="4" t="s">
        <v>119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142</v>
      </c>
      <c r="M4" s="4" t="s">
        <v>4</v>
      </c>
      <c r="N4" s="4" t="s">
        <v>5</v>
      </c>
      <c r="O4" s="4" t="s">
        <v>6</v>
      </c>
      <c r="P4" s="4" t="s">
        <v>7</v>
      </c>
      <c r="Q4" s="4" t="s">
        <v>151</v>
      </c>
      <c r="R4" s="4" t="s">
        <v>4</v>
      </c>
      <c r="S4" s="4" t="s">
        <v>5</v>
      </c>
      <c r="T4" s="4" t="s">
        <v>6</v>
      </c>
      <c r="U4" s="4" t="s">
        <v>7</v>
      </c>
      <c r="V4" s="4" t="s">
        <v>155</v>
      </c>
      <c r="W4" s="4" t="s">
        <v>4</v>
      </c>
      <c r="X4" s="4" t="s">
        <v>5</v>
      </c>
      <c r="Y4" s="4" t="s">
        <v>6</v>
      </c>
    </row>
    <row r="5" spans="1:27" x14ac:dyDescent="0.35">
      <c r="A5" s="218" t="s">
        <v>176</v>
      </c>
      <c r="B5" s="218"/>
    </row>
    <row r="6" spans="1:27" ht="21" customHeight="1" x14ac:dyDescent="0.35">
      <c r="A6" s="218" t="s">
        <v>39</v>
      </c>
      <c r="B6" s="218"/>
    </row>
    <row r="7" spans="1:27" ht="15.5" x14ac:dyDescent="0.35">
      <c r="A7" s="1"/>
      <c r="B7" s="159" t="s">
        <v>199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7" x14ac:dyDescent="0.35">
      <c r="A8" s="139"/>
      <c r="B8" s="119" t="s">
        <v>188</v>
      </c>
      <c r="C8" s="140">
        <v>157633.05680478795</v>
      </c>
      <c r="D8" s="140">
        <v>171421.17388030799</v>
      </c>
      <c r="E8" s="140">
        <v>176896.72631425431</v>
      </c>
      <c r="F8" s="140">
        <v>185016.02479686443</v>
      </c>
      <c r="G8" s="140">
        <f>SUM(C8:F8)</f>
        <v>690966.98179621459</v>
      </c>
      <c r="H8" s="140">
        <v>198819.97685615014</v>
      </c>
      <c r="I8" s="140">
        <v>203113.60649862819</v>
      </c>
      <c r="J8" s="140">
        <v>214786</v>
      </c>
      <c r="K8" s="140">
        <v>218017.07152222822</v>
      </c>
      <c r="L8" s="140">
        <f>SUM(H8:K8)</f>
        <v>834736.65487700654</v>
      </c>
      <c r="M8" s="140">
        <v>231723.83244359991</v>
      </c>
      <c r="N8" s="140">
        <v>237403.33902169965</v>
      </c>
      <c r="O8" s="140">
        <v>253616</v>
      </c>
      <c r="P8" s="140">
        <v>256988</v>
      </c>
      <c r="Q8" s="140">
        <f>ROUNDDOWN(SUM(M8:P8),0)</f>
        <v>979731</v>
      </c>
      <c r="R8" s="140">
        <v>267928.81199999998</v>
      </c>
      <c r="S8" s="140">
        <v>278770</v>
      </c>
      <c r="T8" s="140">
        <v>298470</v>
      </c>
      <c r="U8" s="140">
        <f>V8-SUM(R8:T8)</f>
        <v>310173.18800000008</v>
      </c>
      <c r="V8" s="140">
        <v>1155342</v>
      </c>
      <c r="W8" s="140">
        <v>341622</v>
      </c>
      <c r="X8" s="140">
        <v>362558</v>
      </c>
      <c r="Y8" s="140">
        <v>406886</v>
      </c>
    </row>
    <row r="9" spans="1:27" x14ac:dyDescent="0.35">
      <c r="B9" s="50" t="s">
        <v>181</v>
      </c>
      <c r="C9" s="142"/>
      <c r="D9" s="142"/>
      <c r="E9" s="142"/>
      <c r="F9" s="142"/>
      <c r="G9" s="142"/>
      <c r="H9" s="143">
        <f t="shared" ref="H9" si="0">IFERROR(H8/C8-1,"")</f>
        <v>0.26128352064102822</v>
      </c>
      <c r="I9" s="143">
        <f t="shared" ref="I9" si="1">IFERROR(I8/D8-1,"")</f>
        <v>0.18488050163773173</v>
      </c>
      <c r="J9" s="143">
        <f t="shared" ref="J9" si="2">IFERROR(J8/E8-1,"")</f>
        <v>0.21418866519008373</v>
      </c>
      <c r="K9" s="143">
        <f t="shared" ref="K9" si="3">IFERROR(K8/F8-1,"")</f>
        <v>0.17836858597300864</v>
      </c>
      <c r="L9" s="143">
        <f t="shared" ref="L9" si="4">IFERROR(L8/G8-1,"")</f>
        <v>0.20807025063202467</v>
      </c>
      <c r="M9" s="143">
        <f t="shared" ref="M9:Y9" si="5">IFERROR(M8/H8-1,"")</f>
        <v>0.16549572184718797</v>
      </c>
      <c r="N9" s="143">
        <f t="shared" si="5"/>
        <v>0.16882046020537311</v>
      </c>
      <c r="O9" s="143">
        <f t="shared" si="5"/>
        <v>0.18078459489910892</v>
      </c>
      <c r="P9" s="143">
        <f t="shared" si="5"/>
        <v>0.17875172896173153</v>
      </c>
      <c r="Q9" s="143">
        <f t="shared" si="5"/>
        <v>0.17370070461846132</v>
      </c>
      <c r="R9" s="143">
        <f t="shared" si="5"/>
        <v>0.15624193322977309</v>
      </c>
      <c r="S9" s="143">
        <f t="shared" si="5"/>
        <v>0.1742463317860885</v>
      </c>
      <c r="T9" s="143">
        <f t="shared" si="5"/>
        <v>0.17685792694467217</v>
      </c>
      <c r="U9" s="143">
        <f t="shared" si="5"/>
        <v>0.20695592012078423</v>
      </c>
      <c r="V9" s="143">
        <f t="shared" si="5"/>
        <v>0.17924409863523771</v>
      </c>
      <c r="W9" s="143">
        <f t="shared" si="5"/>
        <v>0.27504764213264243</v>
      </c>
      <c r="X9" s="143">
        <f t="shared" si="5"/>
        <v>0.30056318829142303</v>
      </c>
      <c r="Y9" s="143">
        <f t="shared" si="5"/>
        <v>0.3632391865179081</v>
      </c>
    </row>
    <row r="10" spans="1:27" x14ac:dyDescent="0.35">
      <c r="B10" s="50" t="s">
        <v>77</v>
      </c>
      <c r="C10" s="143"/>
      <c r="D10" s="143"/>
      <c r="E10" s="143"/>
      <c r="F10" s="143"/>
      <c r="G10" s="143"/>
      <c r="H10" s="143">
        <v>0.27106690082394436</v>
      </c>
      <c r="I10" s="143">
        <v>0.18329519423398533</v>
      </c>
      <c r="J10" s="143">
        <v>0.20233818861809461</v>
      </c>
      <c r="K10" s="143">
        <v>0.17132137803638048</v>
      </c>
      <c r="L10" s="143">
        <v>0.20498800777917636</v>
      </c>
      <c r="M10" s="143">
        <v>0.16206470038301535</v>
      </c>
      <c r="N10" s="143">
        <v>0.16919095053784039</v>
      </c>
      <c r="O10" s="143">
        <v>0.17779871884979515</v>
      </c>
      <c r="P10" s="143">
        <v>0.17872240075291046</v>
      </c>
      <c r="Q10" s="143">
        <v>0.17219788644568346</v>
      </c>
      <c r="R10" s="143">
        <v>0.15948242281896152</v>
      </c>
      <c r="S10" s="143">
        <v>0.173190080139761</v>
      </c>
      <c r="T10" s="143">
        <v>0.1790024373294874</v>
      </c>
      <c r="U10" s="143">
        <v>0.2068588061645269</v>
      </c>
      <c r="V10" s="143">
        <v>0.18028401145578932</v>
      </c>
      <c r="W10" s="143">
        <v>0.27102301890154168</v>
      </c>
      <c r="X10" s="143">
        <v>0.30653130836958842</v>
      </c>
      <c r="Y10" s="143">
        <v>0.36729019362082771</v>
      </c>
    </row>
    <row r="11" spans="1:27" x14ac:dyDescent="0.35">
      <c r="B11" s="50" t="s">
        <v>161</v>
      </c>
      <c r="C11" s="143"/>
      <c r="D11" s="143"/>
      <c r="E11" s="143"/>
      <c r="F11" s="143"/>
      <c r="G11" s="143"/>
      <c r="H11" s="143">
        <v>7.13630205935607E-2</v>
      </c>
      <c r="I11" s="143">
        <v>1.8693544382302196E-2</v>
      </c>
      <c r="J11" s="143">
        <v>5.7208437385223965E-2</v>
      </c>
      <c r="K11" s="143">
        <v>1.5928234823692211E-2</v>
      </c>
      <c r="L11" s="171" t="s">
        <v>41</v>
      </c>
      <c r="M11" s="143">
        <v>6.1613622824497005E-2</v>
      </c>
      <c r="N11" s="143">
        <v>2.574920838646233E-2</v>
      </c>
      <c r="O11" s="143">
        <v>6.486734286535345E-2</v>
      </c>
      <c r="P11" s="143">
        <v>1.6624699138549248E-2</v>
      </c>
      <c r="Q11" s="171" t="s">
        <v>41</v>
      </c>
      <c r="R11" s="143">
        <v>4.410642742076254E-2</v>
      </c>
      <c r="S11" s="143">
        <v>3.703368813817276E-2</v>
      </c>
      <c r="T11" s="143">
        <v>7.2350484820474792E-2</v>
      </c>
      <c r="U11" s="143">
        <v>3.9941158678321376E-2</v>
      </c>
      <c r="V11" s="171" t="s">
        <v>41</v>
      </c>
      <c r="W11" s="143">
        <v>0.10227638794976857</v>
      </c>
      <c r="X11" s="143">
        <v>6.2739379660295302E-2</v>
      </c>
      <c r="Y11" s="143">
        <v>0.12275320873317952</v>
      </c>
    </row>
    <row r="12" spans="1:27" x14ac:dyDescent="0.35">
      <c r="B12" s="50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</row>
    <row r="13" spans="1:27" x14ac:dyDescent="0.35">
      <c r="A13" s="139"/>
      <c r="B13" s="119" t="s">
        <v>189</v>
      </c>
      <c r="C13" s="140">
        <v>171574.692435212</v>
      </c>
      <c r="D13" s="140">
        <v>175361.19709979204</v>
      </c>
      <c r="E13" s="140">
        <v>184454.52976104568</v>
      </c>
      <c r="F13" s="140">
        <v>189686.5758121355</v>
      </c>
      <c r="G13" s="140">
        <f>SUM(C13:F13)</f>
        <v>721076.99510818522</v>
      </c>
      <c r="H13" s="140">
        <v>201823.07814384988</v>
      </c>
      <c r="I13" s="140">
        <v>201882</v>
      </c>
      <c r="J13" s="140">
        <v>196185</v>
      </c>
      <c r="K13" s="140">
        <v>196040.8804777718</v>
      </c>
      <c r="L13" s="140">
        <f>SUM(H13:K13)</f>
        <v>795930.9586216216</v>
      </c>
      <c r="M13" s="140">
        <v>204783</v>
      </c>
      <c r="N13" s="140">
        <v>210963</v>
      </c>
      <c r="O13" s="140">
        <v>218456.9386970998</v>
      </c>
      <c r="P13" s="140">
        <v>224438</v>
      </c>
      <c r="Q13" s="140">
        <f>(SUM(M13:P13))</f>
        <v>858640.9386970998</v>
      </c>
      <c r="R13" s="140">
        <v>233090</v>
      </c>
      <c r="S13" s="140">
        <v>235690</v>
      </c>
      <c r="T13" s="140">
        <v>231115</v>
      </c>
      <c r="U13" s="140">
        <f>V13-SUM(R13:T13)</f>
        <v>232442</v>
      </c>
      <c r="V13" s="140">
        <v>932337</v>
      </c>
      <c r="W13" s="140">
        <v>228729</v>
      </c>
      <c r="X13" s="140">
        <v>232205</v>
      </c>
      <c r="Y13" s="140">
        <v>227073</v>
      </c>
    </row>
    <row r="14" spans="1:27" x14ac:dyDescent="0.35">
      <c r="B14" s="50" t="s">
        <v>181</v>
      </c>
      <c r="C14" s="142"/>
      <c r="D14" s="142"/>
      <c r="E14" s="142"/>
      <c r="F14" s="142"/>
      <c r="G14" s="142"/>
      <c r="H14" s="143">
        <f t="shared" ref="H14" si="6">IFERROR(H13/C13-1,"")</f>
        <v>0.17629864451052368</v>
      </c>
      <c r="I14" s="143">
        <f t="shared" ref="I14" si="7">IFERROR(I13/D13-1,"")</f>
        <v>0.15123529799534774</v>
      </c>
      <c r="J14" s="143">
        <f t="shared" ref="J14" si="8">IFERROR(J13/E13-1,"")</f>
        <v>6.3595457667267485E-2</v>
      </c>
      <c r="K14" s="143">
        <f t="shared" ref="K14" si="9">IFERROR(K13/F13-1,"")</f>
        <v>3.3498968698394194E-2</v>
      </c>
      <c r="L14" s="143">
        <f t="shared" ref="L14" si="10">IFERROR(L13/G13-1,"")</f>
        <v>0.10380855861613747</v>
      </c>
      <c r="M14" s="143">
        <f t="shared" ref="M14" si="11">IFERROR(M13/H13-1,"")</f>
        <v>1.466592365636421E-2</v>
      </c>
      <c r="N14" s="143">
        <f t="shared" ref="N14" si="12">IFERROR(N13/I13-1,"")</f>
        <v>4.4981721996017576E-2</v>
      </c>
      <c r="O14" s="143">
        <f t="shared" ref="O14" si="13">IFERROR(O13/J13-1,"")</f>
        <v>0.11352518641639175</v>
      </c>
      <c r="P14" s="143">
        <f t="shared" ref="P14" si="14">IFERROR(P13/K13-1,"")</f>
        <v>0.14485305030778006</v>
      </c>
      <c r="Q14" s="143">
        <f t="shared" ref="Q14:Y14" si="15">IFERROR(Q13/L13-1,"")</f>
        <v>7.8788215731774303E-2</v>
      </c>
      <c r="R14" s="143">
        <f t="shared" si="15"/>
        <v>0.13822924754496224</v>
      </c>
      <c r="S14" s="143">
        <f t="shared" si="15"/>
        <v>0.11721012689428956</v>
      </c>
      <c r="T14" s="143">
        <f t="shared" si="15"/>
        <v>5.7943049913608657E-2</v>
      </c>
      <c r="U14" s="143">
        <f t="shared" si="15"/>
        <v>3.5662410108804998E-2</v>
      </c>
      <c r="V14" s="143">
        <f t="shared" si="15"/>
        <v>8.5828730009922971E-2</v>
      </c>
      <c r="W14" s="143">
        <f>IFERROR(W13/R13-1,"")</f>
        <v>-1.8709511347548169E-2</v>
      </c>
      <c r="X14" s="143">
        <f t="shared" si="15"/>
        <v>-1.4786371929229047E-2</v>
      </c>
      <c r="Y14" s="143">
        <f t="shared" si="15"/>
        <v>-1.7489128788698238E-2</v>
      </c>
    </row>
    <row r="15" spans="1:27" x14ac:dyDescent="0.35">
      <c r="B15" s="50" t="s">
        <v>77</v>
      </c>
      <c r="C15" s="143"/>
      <c r="D15" s="143"/>
      <c r="E15" s="143"/>
      <c r="F15" s="143"/>
      <c r="G15" s="143"/>
      <c r="H15" s="143">
        <v>0.19234106799860862</v>
      </c>
      <c r="I15" s="143">
        <v>0.15912255458550484</v>
      </c>
      <c r="J15" s="143">
        <v>6.4610241696106963E-2</v>
      </c>
      <c r="K15" s="143">
        <v>3.3008087352418558E-2</v>
      </c>
      <c r="L15" s="143">
        <v>0.10967431299640662</v>
      </c>
      <c r="M15" s="143">
        <v>1.5657017986801858E-2</v>
      </c>
      <c r="N15" s="143">
        <v>4.582520913819188E-2</v>
      </c>
      <c r="O15" s="143">
        <v>0.10947139233886949</v>
      </c>
      <c r="P15" s="143">
        <v>0.14643092764105003</v>
      </c>
      <c r="Q15" s="143">
        <v>7.8642857876726646E-2</v>
      </c>
      <c r="R15" s="143">
        <v>0.14239500820040241</v>
      </c>
      <c r="S15" s="143">
        <v>0.11553222088433523</v>
      </c>
      <c r="T15" s="143">
        <v>5.8642511594285684E-2</v>
      </c>
      <c r="U15" s="143">
        <v>3.4356028740268441E-2</v>
      </c>
      <c r="V15" s="143">
        <v>8.6246487413055295E-2</v>
      </c>
      <c r="W15" s="143">
        <v>-2.4084779244751386E-2</v>
      </c>
      <c r="X15" s="143">
        <v>-1.4602288976658384E-2</v>
      </c>
      <c r="Y15" s="143">
        <v>-1.8136629318273756E-2</v>
      </c>
    </row>
    <row r="16" spans="1:27" x14ac:dyDescent="0.35">
      <c r="B16" s="50" t="s">
        <v>161</v>
      </c>
      <c r="C16" s="143"/>
      <c r="D16" s="143"/>
      <c r="E16" s="143"/>
      <c r="F16" s="143"/>
      <c r="G16" s="143"/>
      <c r="H16" s="143">
        <v>6.1184962370648854E-2</v>
      </c>
      <c r="I16" s="143">
        <v>8.421630475288211E-4</v>
      </c>
      <c r="J16" s="143">
        <v>-2.7429467584665357E-2</v>
      </c>
      <c r="K16" s="143">
        <v>-7.2095186976772752E-4</v>
      </c>
      <c r="L16" s="171" t="s">
        <v>41</v>
      </c>
      <c r="M16" s="143">
        <v>4.4712532889393586E-2</v>
      </c>
      <c r="N16" s="143">
        <v>3.0310822297619611E-2</v>
      </c>
      <c r="O16" s="143">
        <v>3.1534736543573194E-2</v>
      </c>
      <c r="P16" s="143">
        <v>3.2687024614043381E-2</v>
      </c>
      <c r="Q16" s="171" t="s">
        <v>41</v>
      </c>
      <c r="R16" s="143">
        <v>4.1031183634181012E-2</v>
      </c>
      <c r="S16" s="143">
        <v>5.6062813983583926E-3</v>
      </c>
      <c r="T16" s="143">
        <v>-1.8853692972998104E-2</v>
      </c>
      <c r="U16" s="143">
        <v>6.1287084915910839E-3</v>
      </c>
      <c r="V16" s="171" t="s">
        <v>41</v>
      </c>
      <c r="W16" s="143">
        <v>-1.7575725165445366E-2</v>
      </c>
      <c r="X16" s="143">
        <v>1.5939398267057037E-2</v>
      </c>
      <c r="Y16" s="143">
        <v>-2.1846122781207233E-2</v>
      </c>
    </row>
    <row r="17" spans="1:25" x14ac:dyDescent="0.35">
      <c r="B17" s="50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9"/>
      <c r="N17" s="149"/>
      <c r="O17" s="149"/>
      <c r="P17" s="149"/>
      <c r="Q17" s="149"/>
      <c r="R17" s="145"/>
      <c r="S17" s="145"/>
      <c r="T17" s="145"/>
      <c r="U17" s="145"/>
      <c r="V17" s="145"/>
      <c r="W17" s="145"/>
      <c r="X17" s="143"/>
      <c r="Y17" s="143"/>
    </row>
    <row r="18" spans="1:25" x14ac:dyDescent="0.35">
      <c r="A18" s="139"/>
      <c r="B18" s="119" t="s">
        <v>177</v>
      </c>
      <c r="C18" s="154">
        <f t="shared" ref="C18:G18" si="16">C13+C8</f>
        <v>329207.74923999992</v>
      </c>
      <c r="D18" s="154">
        <f t="shared" si="16"/>
        <v>346782.37098010001</v>
      </c>
      <c r="E18" s="154">
        <f t="shared" si="16"/>
        <v>361351.25607529999</v>
      </c>
      <c r="F18" s="154">
        <f t="shared" si="16"/>
        <v>374702.60060899996</v>
      </c>
      <c r="G18" s="154">
        <f t="shared" si="16"/>
        <v>1412043.9769043997</v>
      </c>
      <c r="H18" s="154">
        <f t="shared" ref="H18:X18" si="17">H13+H8</f>
        <v>400643.05500000005</v>
      </c>
      <c r="I18" s="154">
        <f t="shared" si="17"/>
        <v>404995.60649862816</v>
      </c>
      <c r="J18" s="154">
        <f t="shared" si="17"/>
        <v>410971</v>
      </c>
      <c r="K18" s="154">
        <f t="shared" si="17"/>
        <v>414057.95200000005</v>
      </c>
      <c r="L18" s="154">
        <f t="shared" si="17"/>
        <v>1630667.6134986281</v>
      </c>
      <c r="M18" s="154">
        <f t="shared" si="17"/>
        <v>436506.83244359994</v>
      </c>
      <c r="N18" s="154">
        <f t="shared" si="17"/>
        <v>448366.33902169962</v>
      </c>
      <c r="O18" s="154">
        <f t="shared" si="17"/>
        <v>472072.9386970998</v>
      </c>
      <c r="P18" s="154">
        <f t="shared" si="17"/>
        <v>481426</v>
      </c>
      <c r="Q18" s="154">
        <f t="shared" si="17"/>
        <v>1838371.9386970997</v>
      </c>
      <c r="R18" s="154">
        <f t="shared" si="17"/>
        <v>501018.81199999998</v>
      </c>
      <c r="S18" s="154">
        <f t="shared" si="17"/>
        <v>514460</v>
      </c>
      <c r="T18" s="154">
        <f t="shared" si="17"/>
        <v>529585</v>
      </c>
      <c r="U18" s="154">
        <f t="shared" si="17"/>
        <v>542615.18800000008</v>
      </c>
      <c r="V18" s="154">
        <f t="shared" si="17"/>
        <v>2087679</v>
      </c>
      <c r="W18" s="154">
        <f t="shared" si="17"/>
        <v>570351</v>
      </c>
      <c r="X18" s="154">
        <f t="shared" si="17"/>
        <v>594763</v>
      </c>
      <c r="Y18" s="154">
        <f t="shared" ref="Y18" si="18">Y13+Y8</f>
        <v>633959</v>
      </c>
    </row>
    <row r="19" spans="1:25" x14ac:dyDescent="0.35">
      <c r="B19" s="50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</row>
    <row r="20" spans="1:25" x14ac:dyDescent="0.35">
      <c r="B20" s="159" t="s">
        <v>200</v>
      </c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  <c r="Y20" s="191"/>
    </row>
    <row r="21" spans="1:25" x14ac:dyDescent="0.35">
      <c r="A21" s="152"/>
      <c r="B21" s="119" t="s">
        <v>206</v>
      </c>
      <c r="C21" s="193">
        <v>152406</v>
      </c>
      <c r="D21" s="193">
        <v>165137.43735890009</v>
      </c>
      <c r="E21" s="193">
        <v>170357</v>
      </c>
      <c r="F21" s="193">
        <v>177644</v>
      </c>
      <c r="G21" s="193">
        <v>665543.98659879994</v>
      </c>
      <c r="H21" s="193">
        <v>189003.80375860003</v>
      </c>
      <c r="I21" s="193">
        <v>188419.57773070008</v>
      </c>
      <c r="J21" s="193">
        <v>188015</v>
      </c>
      <c r="K21" s="193">
        <v>186740.10794930009</v>
      </c>
      <c r="L21" s="193">
        <v>752179</v>
      </c>
      <c r="M21" s="193">
        <v>196779.80983079999</v>
      </c>
      <c r="N21" s="193">
        <v>200259.03694130003</v>
      </c>
      <c r="O21" s="193">
        <v>209962.62741440005</v>
      </c>
      <c r="P21" s="193">
        <v>214630.03313380003</v>
      </c>
      <c r="Q21" s="193">
        <v>821631.50732030009</v>
      </c>
      <c r="R21" s="193">
        <v>219767</v>
      </c>
      <c r="S21" s="193">
        <v>226908.16296700001</v>
      </c>
      <c r="T21" s="193">
        <v>237623.76245110005</v>
      </c>
      <c r="U21" s="193">
        <v>246647</v>
      </c>
      <c r="V21" s="193">
        <v>930946.46733000001</v>
      </c>
      <c r="W21" s="193">
        <v>259613.90083180004</v>
      </c>
      <c r="X21" s="193">
        <v>277336.63441000006</v>
      </c>
      <c r="Y21" s="193">
        <v>307795</v>
      </c>
    </row>
    <row r="22" spans="1:25" x14ac:dyDescent="0.35">
      <c r="B22" s="50" t="s">
        <v>181</v>
      </c>
      <c r="C22" s="189"/>
      <c r="D22" s="189"/>
      <c r="E22" s="189"/>
      <c r="F22" s="189"/>
      <c r="G22" s="189"/>
      <c r="H22" s="196">
        <v>0.24013055599685118</v>
      </c>
      <c r="I22" s="196">
        <v>0.14098644586084941</v>
      </c>
      <c r="J22" s="196">
        <v>0.10366647867006429</v>
      </c>
      <c r="K22" s="196">
        <v>5.1201815634099646E-2</v>
      </c>
      <c r="L22" s="196">
        <v>0.13017241423582315</v>
      </c>
      <c r="M22" s="196">
        <v>4.1142061257833928E-2</v>
      </c>
      <c r="N22" s="196">
        <v>6.2835610572918199E-2</v>
      </c>
      <c r="O22" s="196">
        <v>0.11672765542187635</v>
      </c>
      <c r="P22" s="196">
        <v>0.14935155329390759</v>
      </c>
      <c r="Q22" s="196">
        <v>9.2334419433939718E-2</v>
      </c>
      <c r="R22" s="196">
        <v>0.11681476971120697</v>
      </c>
      <c r="S22" s="196">
        <v>0.13307327565702498</v>
      </c>
      <c r="T22" s="196">
        <v>0.13174313627779877</v>
      </c>
      <c r="U22" s="196">
        <v>0.14917721583791566</v>
      </c>
      <c r="V22" s="196">
        <v>0.13304621236620284</v>
      </c>
      <c r="W22" s="196">
        <f t="shared" ref="W22:Y22" si="19">IFERROR(W21/R21-1,"")</f>
        <v>0.18131430484012623</v>
      </c>
      <c r="X22" s="196">
        <f t="shared" si="19"/>
        <v>0.22224176857989031</v>
      </c>
      <c r="Y22" s="196">
        <f t="shared" si="19"/>
        <v>0.29530395792525299</v>
      </c>
    </row>
    <row r="23" spans="1:25" x14ac:dyDescent="0.35">
      <c r="B23" s="50" t="s">
        <v>77</v>
      </c>
      <c r="C23" s="190"/>
      <c r="D23" s="190"/>
      <c r="E23" s="190"/>
      <c r="F23" s="190"/>
      <c r="G23" s="190"/>
      <c r="H23" s="196">
        <v>0.24751887501694569</v>
      </c>
      <c r="I23" s="196">
        <v>0.13972026018397266</v>
      </c>
      <c r="J23" s="196">
        <v>9.6729501357017522E-2</v>
      </c>
      <c r="K23" s="196">
        <v>4.7383633745011089E-2</v>
      </c>
      <c r="L23" s="196">
        <v>0.12875537713671314</v>
      </c>
      <c r="M23" s="196">
        <v>3.8443706983169124E-2</v>
      </c>
      <c r="N23" s="196">
        <v>6.324859577189379E-2</v>
      </c>
      <c r="O23" s="196">
        <v>0.11484448169612183</v>
      </c>
      <c r="P23" s="196">
        <v>0.14960957691737664</v>
      </c>
      <c r="Q23" s="196">
        <v>9.1353180068303619E-2</v>
      </c>
      <c r="R23" s="196">
        <v>0.11933920637230022</v>
      </c>
      <c r="S23" s="196">
        <v>0.13225030586202746</v>
      </c>
      <c r="T23" s="196">
        <v>0.13274017413611339</v>
      </c>
      <c r="U23" s="196">
        <v>0.14775902921709672</v>
      </c>
      <c r="V23" s="196">
        <v>0.13333454877048867</v>
      </c>
      <c r="W23" s="196">
        <v>0.17789937240668596</v>
      </c>
      <c r="X23" s="196">
        <v>0.22471801086970244</v>
      </c>
      <c r="Y23" s="196">
        <v>0.29699002836286814</v>
      </c>
    </row>
    <row r="24" spans="1:25" x14ac:dyDescent="0.35">
      <c r="B24" s="50" t="s">
        <v>161</v>
      </c>
      <c r="C24" s="190"/>
      <c r="D24" s="190"/>
      <c r="E24" s="190"/>
      <c r="F24" s="190"/>
      <c r="G24" s="190"/>
      <c r="H24" s="196">
        <v>6.1838133927890837E-2</v>
      </c>
      <c r="I24" s="196">
        <v>-5.3764915535663427E-3</v>
      </c>
      <c r="J24" s="196">
        <v>-2.346443549152144E-3</v>
      </c>
      <c r="K24" s="196">
        <v>-6.0996872966442295E-3</v>
      </c>
      <c r="L24" s="196" t="s">
        <v>41</v>
      </c>
      <c r="M24" s="196">
        <v>5.2737921401832866E-2</v>
      </c>
      <c r="N24" s="196">
        <v>1.8936723367118935E-2</v>
      </c>
      <c r="O24" s="196">
        <v>4.5941804860455626E-2</v>
      </c>
      <c r="P24" s="196">
        <v>2.4967965882105814E-2</v>
      </c>
      <c r="Q24" s="196" t="s">
        <v>41</v>
      </c>
      <c r="R24" s="196">
        <v>2.473517216432719E-2</v>
      </c>
      <c r="S24" s="196">
        <v>2.9466255531905849E-2</v>
      </c>
      <c r="T24" s="196">
        <v>4.805111710546095E-2</v>
      </c>
      <c r="U24" s="196">
        <v>3.83092353882446E-2</v>
      </c>
      <c r="V24" s="196" t="s">
        <v>41</v>
      </c>
      <c r="W24" s="196">
        <v>5.2855909897248754E-2</v>
      </c>
      <c r="X24" s="196">
        <v>6.9140045508692571E-2</v>
      </c>
      <c r="Y24" s="196">
        <v>0.11018986952449294</v>
      </c>
    </row>
    <row r="25" spans="1:25" x14ac:dyDescent="0.35">
      <c r="B25" s="50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</row>
    <row r="26" spans="1:25" ht="26.5" customHeight="1" x14ac:dyDescent="0.35">
      <c r="A26" s="139"/>
      <c r="B26" s="166" t="s">
        <v>207</v>
      </c>
      <c r="C26" s="194">
        <f t="shared" ref="C26:V26" si="20">C84-C21</f>
        <v>176801.74923669989</v>
      </c>
      <c r="D26" s="194">
        <f t="shared" si="20"/>
        <v>181644.93361079996</v>
      </c>
      <c r="E26" s="194">
        <f t="shared" si="20"/>
        <v>190994.2560893998</v>
      </c>
      <c r="F26" s="194">
        <f t="shared" si="20"/>
        <v>197058.60060969985</v>
      </c>
      <c r="G26" s="194">
        <f t="shared" si="20"/>
        <v>746499.99030669965</v>
      </c>
      <c r="H26" s="194">
        <f t="shared" si="20"/>
        <v>211639.25429309934</v>
      </c>
      <c r="I26" s="193">
        <f t="shared" si="20"/>
        <v>216576.08626819967</v>
      </c>
      <c r="J26" s="193">
        <f t="shared" si="20"/>
        <v>222956</v>
      </c>
      <c r="K26" s="193">
        <f t="shared" si="20"/>
        <v>227317.88171669981</v>
      </c>
      <c r="L26" s="193">
        <f t="shared" si="20"/>
        <v>878488.71171659906</v>
      </c>
      <c r="M26" s="193">
        <f t="shared" si="20"/>
        <v>239727.09315360012</v>
      </c>
      <c r="N26" s="193">
        <f t="shared" si="20"/>
        <v>248106.74616380024</v>
      </c>
      <c r="O26" s="193">
        <f t="shared" si="20"/>
        <v>262110.29998190014</v>
      </c>
      <c r="P26" s="193">
        <f t="shared" si="20"/>
        <v>266795.96686619997</v>
      </c>
      <c r="Q26" s="193">
        <f t="shared" si="20"/>
        <v>1016740.3850223998</v>
      </c>
      <c r="R26" s="193">
        <f t="shared" si="20"/>
        <v>281252.35699999996</v>
      </c>
      <c r="S26" s="193">
        <f t="shared" si="20"/>
        <v>287551.83703299996</v>
      </c>
      <c r="T26" s="193">
        <f t="shared" si="20"/>
        <v>291961.23754889995</v>
      </c>
      <c r="U26" s="193">
        <f t="shared" si="20"/>
        <v>295967.64299999992</v>
      </c>
      <c r="V26" s="193">
        <f t="shared" si="20"/>
        <v>1156732.5326700001</v>
      </c>
      <c r="W26" s="193">
        <f>W18-W21</f>
        <v>310737.09916819993</v>
      </c>
      <c r="X26" s="193">
        <f>X18-X21</f>
        <v>317426.36558999994</v>
      </c>
      <c r="Y26" s="193">
        <f>Y18-Y21</f>
        <v>326164</v>
      </c>
    </row>
    <row r="27" spans="1:25" x14ac:dyDescent="0.35">
      <c r="A27" s="192"/>
      <c r="B27" s="50" t="s">
        <v>181</v>
      </c>
      <c r="C27" s="191"/>
      <c r="D27" s="191"/>
      <c r="E27" s="191"/>
      <c r="F27" s="191"/>
      <c r="G27" s="189"/>
      <c r="H27" s="196">
        <v>0.19704530778571838</v>
      </c>
      <c r="I27" s="196">
        <v>0.19230733250092258</v>
      </c>
      <c r="J27" s="196">
        <v>0.1673216974740479</v>
      </c>
      <c r="K27" s="196">
        <v>0.15355682930300363</v>
      </c>
      <c r="L27" s="196">
        <v>0.17680757687574444</v>
      </c>
      <c r="M27" s="196">
        <v>0.13271826007003629</v>
      </c>
      <c r="N27" s="196">
        <v>0.14558319271066034</v>
      </c>
      <c r="O27" s="196">
        <v>0.17563167572988836</v>
      </c>
      <c r="P27" s="196">
        <v>0.17366545204137318</v>
      </c>
      <c r="Q27" s="196">
        <v>0.15737651461314961</v>
      </c>
      <c r="R27" s="196">
        <v>0.17321770327071717</v>
      </c>
      <c r="S27" s="196">
        <v>0.15900008237068852</v>
      </c>
      <c r="T27" s="196">
        <v>0.11389374154198029</v>
      </c>
      <c r="U27" s="196">
        <v>0.10934211107895586</v>
      </c>
      <c r="V27" s="196">
        <v>0.1376937457979448</v>
      </c>
      <c r="W27" s="196">
        <f t="shared" ref="W27:Y27" si="21">IFERROR(W26/R26-1,"")</f>
        <v>0.10483376026676283</v>
      </c>
      <c r="X27" s="196">
        <f t="shared" si="21"/>
        <v>0.10389267154489268</v>
      </c>
      <c r="Y27" s="196">
        <f t="shared" si="21"/>
        <v>0.11714829933672788</v>
      </c>
    </row>
    <row r="28" spans="1:25" x14ac:dyDescent="0.35">
      <c r="A28" s="192"/>
      <c r="B28" s="50" t="s">
        <v>77</v>
      </c>
      <c r="C28" s="191"/>
      <c r="D28" s="191"/>
      <c r="E28" s="191"/>
      <c r="F28" s="191"/>
      <c r="G28" s="190"/>
      <c r="H28" s="196">
        <v>0.21496729776658086</v>
      </c>
      <c r="I28" s="196">
        <v>0.19957370710761868</v>
      </c>
      <c r="J28" s="196">
        <v>0.16352315340951362</v>
      </c>
      <c r="K28" s="196">
        <v>0.14990979065867616</v>
      </c>
      <c r="L28" s="196">
        <v>0.18088574028356197</v>
      </c>
      <c r="M28" s="196">
        <v>0.1328469887866961</v>
      </c>
      <c r="N28" s="196">
        <v>0.14636402006145555</v>
      </c>
      <c r="O28" s="196">
        <v>0.17076431416807525</v>
      </c>
      <c r="P28" s="196">
        <v>0.17478995885953363</v>
      </c>
      <c r="Q28" s="196">
        <v>0.15665570675791618</v>
      </c>
      <c r="R28" s="196">
        <v>0.17783721762489524</v>
      </c>
      <c r="S28" s="196">
        <v>0.15720876232585757</v>
      </c>
      <c r="T28" s="196">
        <v>0.11574630828463328</v>
      </c>
      <c r="U28" s="196">
        <v>0.10928720703977568</v>
      </c>
      <c r="V28" s="196">
        <v>0.13880899329872953</v>
      </c>
      <c r="W28" s="196">
        <v>9.921542514236692E-2</v>
      </c>
      <c r="X28" s="196">
        <v>0.10787462967360506</v>
      </c>
      <c r="Y28" s="196">
        <v>0.11940603155560803</v>
      </c>
    </row>
    <row r="29" spans="1:25" x14ac:dyDescent="0.35">
      <c r="A29" s="192"/>
      <c r="B29" s="50" t="s">
        <v>161</v>
      </c>
      <c r="C29" s="191"/>
      <c r="D29" s="191"/>
      <c r="E29" s="191"/>
      <c r="F29" s="191"/>
      <c r="G29" s="190"/>
      <c r="H29" s="196">
        <v>7.0152229568771096E-2</v>
      </c>
      <c r="I29" s="196">
        <v>2.3165798595710996E-2</v>
      </c>
      <c r="J29" s="196">
        <v>3.0125108600245643E-2</v>
      </c>
      <c r="K29" s="196">
        <v>1.9854145499133891E-2</v>
      </c>
      <c r="L29" s="196" t="s">
        <v>41</v>
      </c>
      <c r="M29" s="196">
        <v>5.4329317202876704E-2</v>
      </c>
      <c r="N29" s="196">
        <v>3.5237906750908765E-2</v>
      </c>
      <c r="O29" s="196">
        <v>5.1800737113023576E-2</v>
      </c>
      <c r="P29" s="196">
        <v>2.3328552032661376E-2</v>
      </c>
      <c r="Q29" s="196" t="s">
        <v>41</v>
      </c>
      <c r="R29" s="196">
        <v>5.7103109282363285E-2</v>
      </c>
      <c r="S29" s="196">
        <v>1.6900990282461947E-2</v>
      </c>
      <c r="T29" s="196">
        <v>1.6756086558295857E-2</v>
      </c>
      <c r="U29" s="196">
        <v>1.4497574202607444E-2</v>
      </c>
      <c r="V29" s="196" t="s">
        <v>41</v>
      </c>
      <c r="W29" s="196">
        <v>4.9334285798067645E-2</v>
      </c>
      <c r="X29" s="196">
        <v>2.2943051527588576E-2</v>
      </c>
      <c r="Y29" s="196">
        <v>2.795184892735314E-2</v>
      </c>
    </row>
    <row r="30" spans="1:25" x14ac:dyDescent="0.35">
      <c r="B30" s="50"/>
      <c r="C30" s="191"/>
      <c r="D30" s="191"/>
      <c r="E30" s="191"/>
      <c r="F30" s="191"/>
      <c r="G30" s="191"/>
      <c r="H30" s="191"/>
      <c r="I30" s="191"/>
      <c r="J30" s="191"/>
      <c r="K30" s="191"/>
      <c r="L30" s="191"/>
      <c r="M30" s="191"/>
      <c r="N30" s="191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6"/>
    </row>
    <row r="31" spans="1:25" x14ac:dyDescent="0.35">
      <c r="A31" s="152"/>
      <c r="B31" s="119" t="s">
        <v>177</v>
      </c>
      <c r="C31" s="154">
        <f t="shared" ref="C31:V31" si="22">C26+C21</f>
        <v>329207.74923669989</v>
      </c>
      <c r="D31" s="154">
        <f t="shared" si="22"/>
        <v>346782.37096970004</v>
      </c>
      <c r="E31" s="154">
        <f t="shared" si="22"/>
        <v>361351.2560893998</v>
      </c>
      <c r="F31" s="154">
        <f t="shared" si="22"/>
        <v>374702.60060969985</v>
      </c>
      <c r="G31" s="154">
        <f t="shared" si="22"/>
        <v>1412043.9769054996</v>
      </c>
      <c r="H31" s="154">
        <f t="shared" si="22"/>
        <v>400643.05805169937</v>
      </c>
      <c r="I31" s="154">
        <f t="shared" si="22"/>
        <v>404995.66399889975</v>
      </c>
      <c r="J31" s="154">
        <f t="shared" si="22"/>
        <v>410971</v>
      </c>
      <c r="K31" s="154">
        <f t="shared" si="22"/>
        <v>414057.98966599989</v>
      </c>
      <c r="L31" s="154">
        <f t="shared" si="22"/>
        <v>1630667.7117165991</v>
      </c>
      <c r="M31" s="154">
        <f t="shared" si="22"/>
        <v>436506.90298440011</v>
      </c>
      <c r="N31" s="154">
        <f t="shared" si="22"/>
        <v>448365.78310510027</v>
      </c>
      <c r="O31" s="154">
        <f t="shared" si="22"/>
        <v>472072.92739630019</v>
      </c>
      <c r="P31" s="154">
        <f t="shared" si="22"/>
        <v>481426</v>
      </c>
      <c r="Q31" s="154">
        <f t="shared" si="22"/>
        <v>1838371.8923426999</v>
      </c>
      <c r="R31" s="154">
        <f t="shared" si="22"/>
        <v>501019.35699999996</v>
      </c>
      <c r="S31" s="154">
        <f t="shared" si="22"/>
        <v>514460</v>
      </c>
      <c r="T31" s="154">
        <f t="shared" si="22"/>
        <v>529585</v>
      </c>
      <c r="U31" s="154">
        <f t="shared" si="22"/>
        <v>542614.64299999992</v>
      </c>
      <c r="V31" s="154">
        <f t="shared" si="22"/>
        <v>2087679</v>
      </c>
      <c r="W31" s="140">
        <f t="shared" ref="W31:X31" si="23">W26+W21</f>
        <v>570351</v>
      </c>
      <c r="X31" s="140">
        <f t="shared" si="23"/>
        <v>594763</v>
      </c>
      <c r="Y31" s="140">
        <f t="shared" ref="Y31" si="24">Y26+Y21</f>
        <v>633959</v>
      </c>
    </row>
    <row r="32" spans="1:25" x14ac:dyDescent="0.35">
      <c r="B32" s="50"/>
      <c r="C32" s="187"/>
      <c r="D32" s="187"/>
      <c r="E32" s="187"/>
      <c r="F32" s="187"/>
      <c r="G32" s="187"/>
      <c r="H32" s="187"/>
      <c r="I32" s="187"/>
      <c r="J32" s="187"/>
      <c r="K32" s="187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</row>
    <row r="33" spans="1:25" ht="15.5" x14ac:dyDescent="0.35">
      <c r="B33" s="159" t="s">
        <v>201</v>
      </c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</row>
    <row r="34" spans="1:25" x14ac:dyDescent="0.35">
      <c r="A34" s="119"/>
      <c r="B34" s="119" t="s">
        <v>76</v>
      </c>
      <c r="C34" s="140">
        <v>120458.2503591</v>
      </c>
      <c r="D34" s="140">
        <v>126076.74826600001</v>
      </c>
      <c r="E34" s="140">
        <v>132173.79897259999</v>
      </c>
      <c r="F34" s="140">
        <v>137030.07796930001</v>
      </c>
      <c r="G34" s="140">
        <f>SUM(C34:F34)</f>
        <v>515738.87556700001</v>
      </c>
      <c r="H34" s="140">
        <v>142481.26321140002</v>
      </c>
      <c r="I34" s="140">
        <v>143640.07051289998</v>
      </c>
      <c r="J34" s="140">
        <v>149070</v>
      </c>
      <c r="K34" s="140">
        <v>151211.68653099998</v>
      </c>
      <c r="L34" s="140">
        <f>SUM(H34:K34)</f>
        <v>586403.02025529998</v>
      </c>
      <c r="M34" s="140">
        <v>158267.11298440001</v>
      </c>
      <c r="N34" s="140">
        <v>158459</v>
      </c>
      <c r="O34" s="140">
        <v>166416</v>
      </c>
      <c r="P34" s="140">
        <v>173277</v>
      </c>
      <c r="Q34" s="140">
        <f>ROUNDDOWN(SUM(M34:P34),0)</f>
        <v>656419</v>
      </c>
      <c r="R34" s="140">
        <v>172056</v>
      </c>
      <c r="S34" s="140">
        <v>172174</v>
      </c>
      <c r="T34" s="140">
        <v>180547</v>
      </c>
      <c r="U34" s="140">
        <f>V34-SUM(R34:T34)</f>
        <v>185798</v>
      </c>
      <c r="V34" s="140">
        <v>710575</v>
      </c>
      <c r="W34" s="140">
        <v>193930</v>
      </c>
      <c r="X34" s="140">
        <v>197783</v>
      </c>
      <c r="Y34" s="140">
        <v>208493</v>
      </c>
    </row>
    <row r="35" spans="1:25" x14ac:dyDescent="0.35">
      <c r="B35" s="50" t="s">
        <v>181</v>
      </c>
      <c r="C35" s="142"/>
      <c r="D35" s="142"/>
      <c r="E35" s="142"/>
      <c r="F35" s="142"/>
      <c r="G35" s="142"/>
      <c r="H35" s="143">
        <f>IFERROR(H34/C34-1,"")</f>
        <v>0.18282693619280432</v>
      </c>
      <c r="I35" s="143">
        <f t="shared" ref="I35:Y35" si="25">IFERROR(I34/D34-1,"")</f>
        <v>0.13930659291628</v>
      </c>
      <c r="J35" s="143">
        <f t="shared" si="25"/>
        <v>0.12783321020304972</v>
      </c>
      <c r="K35" s="143">
        <f t="shared" si="25"/>
        <v>0.10349266943332847</v>
      </c>
      <c r="L35" s="143">
        <f t="shared" si="25"/>
        <v>0.13701535415691191</v>
      </c>
      <c r="M35" s="143">
        <f t="shared" si="25"/>
        <v>0.11079246082748773</v>
      </c>
      <c r="N35" s="143">
        <f t="shared" si="25"/>
        <v>0.10316709978062266</v>
      </c>
      <c r="O35" s="143">
        <f t="shared" si="25"/>
        <v>0.11636144093378942</v>
      </c>
      <c r="P35" s="143">
        <f t="shared" si="25"/>
        <v>0.14592333420258763</v>
      </c>
      <c r="Q35" s="143">
        <f t="shared" si="25"/>
        <v>0.11939907764154656</v>
      </c>
      <c r="R35" s="143">
        <f t="shared" si="25"/>
        <v>8.7124145727982771E-2</v>
      </c>
      <c r="S35" s="143">
        <f t="shared" si="25"/>
        <v>8.6552357392132961E-2</v>
      </c>
      <c r="T35" s="143">
        <f t="shared" si="25"/>
        <v>8.4913710220171135E-2</v>
      </c>
      <c r="U35" s="143">
        <f t="shared" si="25"/>
        <v>7.2260022969003357E-2</v>
      </c>
      <c r="V35" s="143">
        <f t="shared" si="25"/>
        <v>8.250218229514994E-2</v>
      </c>
      <c r="W35" s="143">
        <f t="shared" si="25"/>
        <v>0.12713302645650248</v>
      </c>
      <c r="X35" s="143">
        <f t="shared" si="25"/>
        <v>0.14873906629340095</v>
      </c>
      <c r="Y35" s="143">
        <f t="shared" si="25"/>
        <v>0.15478518059009572</v>
      </c>
    </row>
    <row r="36" spans="1:25" x14ac:dyDescent="0.35">
      <c r="B36" s="50" t="s">
        <v>77</v>
      </c>
      <c r="C36" s="143"/>
      <c r="D36" s="143"/>
      <c r="E36" s="143"/>
      <c r="F36" s="143"/>
      <c r="G36" s="143"/>
      <c r="H36" s="143">
        <v>0.18363953962479229</v>
      </c>
      <c r="I36" s="143">
        <v>0.13927222886826107</v>
      </c>
      <c r="J36" s="143">
        <v>0.12724862389529124</v>
      </c>
      <c r="K36" s="143">
        <v>0.10309430049647728</v>
      </c>
      <c r="L36" s="143">
        <v>0.136941085489239</v>
      </c>
      <c r="M36" s="143">
        <v>0.11059057750414936</v>
      </c>
      <c r="N36" s="143">
        <v>0.10313859228931443</v>
      </c>
      <c r="O36" s="143">
        <v>0.11610686334134734</v>
      </c>
      <c r="P36" s="143">
        <v>0.14584562332437723</v>
      </c>
      <c r="Q36" s="143">
        <v>0.11925848443688047</v>
      </c>
      <c r="R36" s="143">
        <v>8.7239217784056855E-2</v>
      </c>
      <c r="S36" s="143">
        <v>8.6378445636306367E-2</v>
      </c>
      <c r="T36" s="143">
        <v>8.5042972704480357E-2</v>
      </c>
      <c r="U36" s="143">
        <v>7.2261437313501986E-2</v>
      </c>
      <c r="V36" s="143">
        <v>8.2497214385192752E-2</v>
      </c>
      <c r="W36" s="143">
        <v>0.12638787469462387</v>
      </c>
      <c r="X36" s="143">
        <v>0.14887879747580501</v>
      </c>
      <c r="Y36" s="143">
        <v>0.15502348214633099</v>
      </c>
    </row>
    <row r="37" spans="1:25" x14ac:dyDescent="0.35">
      <c r="B37" s="50" t="s">
        <v>161</v>
      </c>
      <c r="C37" s="143"/>
      <c r="D37" s="143"/>
      <c r="E37" s="143"/>
      <c r="F37" s="143"/>
      <c r="G37" s="143"/>
      <c r="H37" s="143">
        <v>3.9522593252668603E-2</v>
      </c>
      <c r="I37" s="143">
        <v>7.973659020510393E-3</v>
      </c>
      <c r="J37" s="143">
        <v>3.7769690851373827E-2</v>
      </c>
      <c r="K37" s="143">
        <v>1.4392626153163057E-2</v>
      </c>
      <c r="L37" s="171" t="s">
        <v>41</v>
      </c>
      <c r="M37" s="143">
        <v>4.6575171056554288E-2</v>
      </c>
      <c r="N37" s="143">
        <v>1.2371866701035295E-3</v>
      </c>
      <c r="O37" s="143">
        <v>4.9983761075186539E-2</v>
      </c>
      <c r="P37" s="143">
        <v>4.1412843342535366E-2</v>
      </c>
      <c r="Q37" s="171" t="s">
        <v>41</v>
      </c>
      <c r="R37" s="143">
        <v>-6.9832276625053646E-3</v>
      </c>
      <c r="S37" s="143">
        <v>3.4604714630992461E-4</v>
      </c>
      <c r="T37" s="143">
        <v>4.8761406229047344E-2</v>
      </c>
      <c r="U37" s="143">
        <v>2.9129659834326693E-2</v>
      </c>
      <c r="V37" s="171" t="s">
        <v>41</v>
      </c>
      <c r="W37" s="143">
        <v>4.37285453761731E-2</v>
      </c>
      <c r="X37" s="143">
        <v>2.0036934448836252E-2</v>
      </c>
      <c r="Y37" s="143">
        <v>5.4302787976966416E-2</v>
      </c>
    </row>
    <row r="38" spans="1:25" x14ac:dyDescent="0.35">
      <c r="B38" s="50" t="s">
        <v>36</v>
      </c>
      <c r="C38" s="74"/>
      <c r="D38" s="74"/>
      <c r="E38" s="74"/>
      <c r="F38" s="74"/>
      <c r="G38" s="74"/>
      <c r="H38" s="149">
        <v>0.33759543542811199</v>
      </c>
      <c r="I38" s="149">
        <v>0.33520346205118207</v>
      </c>
      <c r="J38" s="149">
        <v>0.35297986038469104</v>
      </c>
      <c r="K38" s="149">
        <v>0.34545694626777962</v>
      </c>
      <c r="L38" s="149">
        <v>0.34294758453841923</v>
      </c>
      <c r="M38" s="149">
        <v>0.33832535490287136</v>
      </c>
      <c r="N38" s="149">
        <v>0.34039279996658428</v>
      </c>
      <c r="O38" s="149">
        <v>0.35914584930165994</v>
      </c>
      <c r="P38" s="149">
        <v>0.37070929660193219</v>
      </c>
      <c r="Q38" s="149">
        <v>0.35265135950064702</v>
      </c>
      <c r="R38" s="149">
        <v>0.36551923650350054</v>
      </c>
      <c r="S38" s="149">
        <v>0.34770639004727777</v>
      </c>
      <c r="T38" s="149">
        <v>0.36630904972112527</v>
      </c>
      <c r="U38" s="149">
        <v>0.36527022078936489</v>
      </c>
      <c r="V38" s="149">
        <v>0.36133976005347784</v>
      </c>
      <c r="W38" s="149">
        <v>0.377</v>
      </c>
      <c r="X38" s="149">
        <v>0.34580322879114989</v>
      </c>
      <c r="Y38" s="149">
        <v>0.361642836929777</v>
      </c>
    </row>
    <row r="39" spans="1:25" x14ac:dyDescent="0.35">
      <c r="B39" s="50"/>
    </row>
    <row r="40" spans="1:25" x14ac:dyDescent="0.35">
      <c r="A40" s="119"/>
      <c r="B40" s="119" t="s">
        <v>152</v>
      </c>
      <c r="C40" s="140">
        <v>71514.539588900006</v>
      </c>
      <c r="D40" s="140">
        <v>73524.283428499999</v>
      </c>
      <c r="E40" s="140">
        <v>75072.964449999999</v>
      </c>
      <c r="F40" s="140">
        <v>80180.399209999989</v>
      </c>
      <c r="G40" s="140">
        <f>SUM(C40:F40)</f>
        <v>300292.18667739996</v>
      </c>
      <c r="H40" s="140">
        <v>86502.39129</v>
      </c>
      <c r="I40" s="140">
        <v>89791.424150000006</v>
      </c>
      <c r="J40" s="140">
        <v>94185</v>
      </c>
      <c r="K40" s="140">
        <v>95913.623019999999</v>
      </c>
      <c r="L40" s="140">
        <f>SUM(H40:K40)</f>
        <v>366392.43846000003</v>
      </c>
      <c r="M40" s="140">
        <v>100655.56759000001</v>
      </c>
      <c r="N40" s="140">
        <v>106117.06878</v>
      </c>
      <c r="O40" s="140">
        <v>111197</v>
      </c>
      <c r="P40" s="140">
        <v>112709</v>
      </c>
      <c r="Q40" s="140">
        <f>ROUND(SUM(M40:P40),0)</f>
        <v>430679</v>
      </c>
      <c r="R40" s="140">
        <v>125592</v>
      </c>
      <c r="S40" s="140">
        <v>129489</v>
      </c>
      <c r="T40" s="140">
        <v>135271</v>
      </c>
      <c r="U40" s="140">
        <f>V40-SUM(R40:T40)</f>
        <v>142232</v>
      </c>
      <c r="V40" s="140">
        <v>532584</v>
      </c>
      <c r="W40" s="140">
        <v>151920</v>
      </c>
      <c r="X40" s="140">
        <v>157968</v>
      </c>
      <c r="Y40" s="140">
        <v>160399</v>
      </c>
    </row>
    <row r="41" spans="1:25" x14ac:dyDescent="0.35">
      <c r="B41" s="50" t="s">
        <v>181</v>
      </c>
      <c r="C41" s="143"/>
      <c r="D41" s="143"/>
      <c r="E41" s="143"/>
      <c r="F41" s="143"/>
      <c r="G41" s="143"/>
      <c r="H41" s="143">
        <f>IFERROR(H40/C40-1,"")</f>
        <v>0.20957768570219959</v>
      </c>
      <c r="I41" s="143">
        <f t="shared" ref="I41" si="26">IFERROR(I40/D40-1,"")</f>
        <v>0.22124854487455536</v>
      </c>
      <c r="J41" s="143">
        <f t="shared" ref="J41" si="27">IFERROR(J40/E40-1,"")</f>
        <v>0.25457947065256725</v>
      </c>
      <c r="K41" s="143">
        <f t="shared" ref="K41" si="28">IFERROR(K40/F40-1,"")</f>
        <v>0.19622281711011724</v>
      </c>
      <c r="L41" s="143">
        <f t="shared" ref="L41" si="29">IFERROR(L40/G40-1,"")</f>
        <v>0.22011978571260893</v>
      </c>
      <c r="M41" s="143">
        <f t="shared" ref="M41" si="30">IFERROR(M40/H40-1,"")</f>
        <v>0.16361601210018994</v>
      </c>
      <c r="N41" s="143">
        <f t="shared" ref="N41" si="31">IFERROR(N40/I40-1,"")</f>
        <v>0.18181741502091975</v>
      </c>
      <c r="O41" s="143">
        <f t="shared" ref="O41" si="32">IFERROR(O40/J40-1,"")</f>
        <v>0.18062324149280662</v>
      </c>
      <c r="P41" s="143">
        <f t="shared" ref="P41" si="33">IFERROR(P40/K40-1,"")</f>
        <v>0.17510940001190245</v>
      </c>
      <c r="Q41" s="143">
        <f t="shared" ref="Q41:T41" si="34">IFERROR(Q40/L40-1,"")</f>
        <v>0.17545821035555642</v>
      </c>
      <c r="R41" s="143">
        <f t="shared" si="34"/>
        <v>0.2477402195134748</v>
      </c>
      <c r="S41" s="143">
        <f t="shared" si="34"/>
        <v>0.22024667180031399</v>
      </c>
      <c r="T41" s="143">
        <f t="shared" si="34"/>
        <v>0.21649864654621975</v>
      </c>
      <c r="U41" s="143">
        <f t="shared" ref="U41" si="35">IFERROR(U40/P40-1,"")</f>
        <v>0.26194004028072282</v>
      </c>
      <c r="V41" s="143">
        <f t="shared" ref="V41:Y41" si="36">IFERROR(V40/Q40-1,"")</f>
        <v>0.2366147409091226</v>
      </c>
      <c r="W41" s="143">
        <f t="shared" si="36"/>
        <v>0.20963118669978975</v>
      </c>
      <c r="X41" s="143">
        <f t="shared" si="36"/>
        <v>0.21993373954544393</v>
      </c>
      <c r="Y41" s="143">
        <f t="shared" si="36"/>
        <v>0.18576043645718587</v>
      </c>
    </row>
    <row r="42" spans="1:25" x14ac:dyDescent="0.35">
      <c r="B42" s="50" t="s">
        <v>77</v>
      </c>
      <c r="C42" s="143"/>
      <c r="D42" s="143"/>
      <c r="E42" s="143"/>
      <c r="F42" s="143"/>
      <c r="G42" s="143"/>
      <c r="H42" s="143">
        <v>0.20996231667222665</v>
      </c>
      <c r="I42" s="143">
        <v>0.22150445825841047</v>
      </c>
      <c r="J42" s="143">
        <v>0.2546412905105413</v>
      </c>
      <c r="K42" s="143">
        <v>0.19625669047601146</v>
      </c>
      <c r="L42" s="143">
        <v>0.22029854339348187</v>
      </c>
      <c r="M42" s="143">
        <v>0.16359272709236428</v>
      </c>
      <c r="N42" s="143">
        <v>0.18181367844869367</v>
      </c>
      <c r="O42" s="143">
        <v>0.18061668332411362</v>
      </c>
      <c r="P42" s="143">
        <v>0.17508880782856862</v>
      </c>
      <c r="Q42" s="143">
        <v>0.17544371568104444</v>
      </c>
      <c r="R42" s="143">
        <v>0.24774134752857302</v>
      </c>
      <c r="S42" s="143">
        <v>0.22024752953226101</v>
      </c>
      <c r="T42" s="143">
        <v>0.21649073132125629</v>
      </c>
      <c r="U42" s="143">
        <v>0.26194587831444882</v>
      </c>
      <c r="V42" s="143">
        <v>0.23661567952835183</v>
      </c>
      <c r="W42" s="143">
        <v>0.20963342662680962</v>
      </c>
      <c r="X42" s="143">
        <v>0.21993007144981314</v>
      </c>
      <c r="Y42" s="143">
        <v>0.18576393888797171</v>
      </c>
    </row>
    <row r="43" spans="1:25" x14ac:dyDescent="0.35">
      <c r="B43" s="50" t="s">
        <v>161</v>
      </c>
      <c r="C43" s="143"/>
      <c r="D43" s="143"/>
      <c r="E43" s="143"/>
      <c r="F43" s="143"/>
      <c r="G43" s="143"/>
      <c r="H43" s="143">
        <v>7.88444040225178E-2</v>
      </c>
      <c r="I43" s="143">
        <v>3.8013804728241674E-2</v>
      </c>
      <c r="J43" s="143">
        <v>4.8938837979239036E-2</v>
      </c>
      <c r="K43" s="143">
        <v>1.8405165661610212E-2</v>
      </c>
      <c r="L43" s="171" t="s">
        <v>41</v>
      </c>
      <c r="M43" s="143">
        <v>4.9430128732913303E-2</v>
      </c>
      <c r="N43" s="143">
        <v>5.4263299288599187E-2</v>
      </c>
      <c r="O43" s="143">
        <v>4.7858023412131523E-2</v>
      </c>
      <c r="P43" s="143">
        <v>1.360057787700053E-2</v>
      </c>
      <c r="Q43" s="171" t="s">
        <v>41</v>
      </c>
      <c r="R43" s="143">
        <v>0.1143103717762548</v>
      </c>
      <c r="S43" s="143">
        <v>3.1029233368964348E-2</v>
      </c>
      <c r="T43" s="143">
        <v>4.4650813936959244E-2</v>
      </c>
      <c r="U43" s="143">
        <v>5.1459831245119991E-2</v>
      </c>
      <c r="V43" s="171" t="s">
        <v>41</v>
      </c>
      <c r="W43" s="143">
        <v>6.8117344052762041E-2</v>
      </c>
      <c r="X43" s="143">
        <v>3.9805563110230091E-2</v>
      </c>
      <c r="Y43" s="143">
        <v>1.5393663035360161E-2</v>
      </c>
    </row>
    <row r="44" spans="1:25" x14ac:dyDescent="0.35">
      <c r="B44" s="50" t="s">
        <v>36</v>
      </c>
      <c r="C44" s="74"/>
      <c r="D44" s="74"/>
      <c r="E44" s="74"/>
      <c r="F44" s="74"/>
      <c r="G44" s="74"/>
      <c r="H44" s="149">
        <v>0.40218011008814497</v>
      </c>
      <c r="I44" s="149">
        <v>0.43561119263303277</v>
      </c>
      <c r="J44" s="149">
        <v>0.4484278368163232</v>
      </c>
      <c r="K44" s="149">
        <v>0.42904651844315239</v>
      </c>
      <c r="L44" s="149">
        <v>0.42929449067114861</v>
      </c>
      <c r="M44" s="149">
        <v>0.45323439202018218</v>
      </c>
      <c r="N44" s="149">
        <v>0.43350305652873494</v>
      </c>
      <c r="O44" s="149">
        <v>0.42691521436434299</v>
      </c>
      <c r="P44" s="149">
        <v>0.430121747479012</v>
      </c>
      <c r="Q44" s="149">
        <v>0.43552873015696547</v>
      </c>
      <c r="R44" s="149">
        <v>0.43868687019255309</v>
      </c>
      <c r="S44" s="149">
        <v>0.43543467012642001</v>
      </c>
      <c r="T44" s="149">
        <v>0.43040267315241254</v>
      </c>
      <c r="U44" s="149">
        <v>0.44044765631731236</v>
      </c>
      <c r="V44" s="149">
        <v>0.43622977783786221</v>
      </c>
      <c r="W44" s="149">
        <v>0.45300000000000001</v>
      </c>
      <c r="X44" s="149">
        <v>0.46873417400992606</v>
      </c>
      <c r="Y44" s="149">
        <v>0.45242800765590807</v>
      </c>
    </row>
    <row r="45" spans="1:25" x14ac:dyDescent="0.35">
      <c r="B45" s="50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</row>
    <row r="46" spans="1:25" x14ac:dyDescent="0.35">
      <c r="A46" s="119"/>
      <c r="B46" s="119" t="s">
        <v>153</v>
      </c>
      <c r="C46" s="140">
        <v>90309.703503900004</v>
      </c>
      <c r="D46" s="140">
        <v>98131.621052100003</v>
      </c>
      <c r="E46" s="140">
        <v>101625.7207486</v>
      </c>
      <c r="F46" s="140">
        <v>102500.9259229</v>
      </c>
      <c r="G46" s="140">
        <f>SUM(C46:F46)</f>
        <v>392567.97122750001</v>
      </c>
      <c r="H46" s="140">
        <v>107749.3503889</v>
      </c>
      <c r="I46" s="140">
        <v>106022.9652722</v>
      </c>
      <c r="J46" s="140">
        <v>100016.209447</v>
      </c>
      <c r="K46" s="140">
        <v>98039.223322000005</v>
      </c>
      <c r="L46" s="140">
        <f>SUM(H46:K46)</f>
        <v>411827.74843010004</v>
      </c>
      <c r="M46" s="140">
        <v>103253.07462080001</v>
      </c>
      <c r="N46" s="140">
        <v>104572.6988212</v>
      </c>
      <c r="O46" s="140">
        <v>108299.7400092</v>
      </c>
      <c r="P46" s="140">
        <v>110590</v>
      </c>
      <c r="Q46" s="140">
        <f>ROUND(SUM(M46:P46),0)</f>
        <v>426716</v>
      </c>
      <c r="R46" s="140">
        <v>117702</v>
      </c>
      <c r="S46" s="140">
        <v>121089</v>
      </c>
      <c r="T46" s="140">
        <v>120996</v>
      </c>
      <c r="U46" s="140">
        <f>V46-SUM(R46:T46)</f>
        <v>122569</v>
      </c>
      <c r="V46" s="140">
        <v>482356</v>
      </c>
      <c r="W46" s="140">
        <v>127393</v>
      </c>
      <c r="X46" s="140">
        <v>133856</v>
      </c>
      <c r="Y46" s="140">
        <v>153482</v>
      </c>
    </row>
    <row r="47" spans="1:25" x14ac:dyDescent="0.35">
      <c r="B47" s="50" t="s">
        <v>181</v>
      </c>
      <c r="C47" s="142"/>
      <c r="D47" s="142"/>
      <c r="E47" s="142"/>
      <c r="F47" s="142"/>
      <c r="G47" s="142"/>
      <c r="H47" s="143">
        <f>IFERROR(H46/C46-1,"")</f>
        <v>0.19310933607756642</v>
      </c>
      <c r="I47" s="143">
        <f t="shared" ref="I47" si="37">IFERROR(I46/D46-1,"")</f>
        <v>8.0415916250994535E-2</v>
      </c>
      <c r="J47" s="143">
        <f t="shared" ref="J47" si="38">IFERROR(J46/E46-1,"")</f>
        <v>-1.5837637260960546E-2</v>
      </c>
      <c r="K47" s="143">
        <f t="shared" ref="K47" si="39">IFERROR(K46/F46-1,"")</f>
        <v>-4.3528412653130899E-2</v>
      </c>
      <c r="L47" s="143">
        <f t="shared" ref="L47" si="40">IFERROR(L46/G46-1,"")</f>
        <v>4.9060999913919767E-2</v>
      </c>
      <c r="M47" s="143">
        <f t="shared" ref="M47" si="41">IFERROR(M46/H46-1,"")</f>
        <v>-4.1729029009191954E-2</v>
      </c>
      <c r="N47" s="143">
        <f t="shared" ref="N47" si="42">IFERROR(N46/I46-1,"")</f>
        <v>-1.3678795412641387E-2</v>
      </c>
      <c r="O47" s="143">
        <f t="shared" ref="O47" si="43">IFERROR(O46/J46-1,"")</f>
        <v>8.2821880653151103E-2</v>
      </c>
      <c r="P47" s="143">
        <f t="shared" ref="P47" si="44">IFERROR(P46/K46-1,"")</f>
        <v>0.12801791214500158</v>
      </c>
      <c r="Q47" s="143">
        <f t="shared" ref="Q47:T47" si="45">IFERROR(Q46/L46-1,"")</f>
        <v>3.6151647446424962E-2</v>
      </c>
      <c r="R47" s="143">
        <f t="shared" si="45"/>
        <v>0.13993699879896182</v>
      </c>
      <c r="S47" s="143">
        <f t="shared" si="45"/>
        <v>0.15794085229682975</v>
      </c>
      <c r="T47" s="143">
        <f t="shared" si="45"/>
        <v>0.11723259898612359</v>
      </c>
      <c r="U47" s="143">
        <f t="shared" ref="U47" si="46">IFERROR(U46/P46-1,"")</f>
        <v>0.108319016185912</v>
      </c>
      <c r="V47" s="143">
        <f t="shared" ref="V47:Y47" si="47">IFERROR(V46/Q46-1,"")</f>
        <v>0.13039117352056162</v>
      </c>
      <c r="W47" s="143">
        <f t="shared" si="47"/>
        <v>8.2335049531868654E-2</v>
      </c>
      <c r="X47" s="143">
        <f t="shared" si="47"/>
        <v>0.10543484544425996</v>
      </c>
      <c r="Y47" s="143">
        <f t="shared" si="47"/>
        <v>0.26848821448642934</v>
      </c>
    </row>
    <row r="48" spans="1:25" x14ac:dyDescent="0.35">
      <c r="B48" s="50" t="s">
        <v>77</v>
      </c>
      <c r="C48" s="143"/>
      <c r="D48" s="143"/>
      <c r="E48" s="143"/>
      <c r="F48" s="143"/>
      <c r="G48" s="143"/>
      <c r="H48" s="143">
        <v>0.19658647744787783</v>
      </c>
      <c r="I48" s="143">
        <v>8.1878235156195966E-2</v>
      </c>
      <c r="J48" s="143">
        <v>-1.6752872525961804E-2</v>
      </c>
      <c r="K48" s="143">
        <v>-4.4755390114886828E-2</v>
      </c>
      <c r="L48" s="143">
        <v>4.9669153353643525E-2</v>
      </c>
      <c r="M48" s="143">
        <v>-4.1982631502488044E-2</v>
      </c>
      <c r="N48" s="143">
        <v>-1.3017502182050777E-2</v>
      </c>
      <c r="O48" s="143">
        <v>8.3350368313296119E-2</v>
      </c>
      <c r="P48" s="143">
        <v>0.12942717248659585</v>
      </c>
      <c r="Q48" s="143">
        <v>3.6718196568523709E-2</v>
      </c>
      <c r="R48" s="143">
        <v>0.14273214910862464</v>
      </c>
      <c r="S48" s="143">
        <v>0.15849500055236132</v>
      </c>
      <c r="T48" s="143">
        <v>0.11805002491221073</v>
      </c>
      <c r="U48" s="143">
        <v>0.10822244594060004</v>
      </c>
      <c r="V48" s="143">
        <v>0.13138707618402257</v>
      </c>
      <c r="W48" s="143">
        <v>8.1217379548380153E-2</v>
      </c>
      <c r="X48" s="143">
        <v>0.10699179760940858</v>
      </c>
      <c r="Y48" s="143">
        <v>0.27035628567826975</v>
      </c>
    </row>
    <row r="49" spans="1:25" x14ac:dyDescent="0.35">
      <c r="B49" s="50" t="s">
        <v>161</v>
      </c>
      <c r="C49" s="143"/>
      <c r="D49" s="143"/>
      <c r="E49" s="143"/>
      <c r="F49" s="143"/>
      <c r="G49" s="143"/>
      <c r="H49" s="143">
        <v>4.9454480797667788E-2</v>
      </c>
      <c r="I49" s="143">
        <v>-1.6123568412464317E-2</v>
      </c>
      <c r="J49" s="143">
        <v>-5.6534290595142145E-2</v>
      </c>
      <c r="K49" s="143">
        <v>-1.9419062170022316E-2</v>
      </c>
      <c r="L49" s="171" t="s">
        <v>41</v>
      </c>
      <c r="M49" s="143">
        <v>5.298265567667082E-2</v>
      </c>
      <c r="N49" s="143">
        <v>1.345448511825853E-2</v>
      </c>
      <c r="O49" s="143">
        <v>3.5485530503948981E-2</v>
      </c>
      <c r="P49" s="143">
        <v>2.2192737408195606E-2</v>
      </c>
      <c r="Q49" s="171" t="s">
        <v>41</v>
      </c>
      <c r="R49" s="143">
        <v>6.5059320380133068E-2</v>
      </c>
      <c r="S49" s="143">
        <v>2.7324099564889792E-2</v>
      </c>
      <c r="T49" s="143">
        <v>-1.9560962144449245E-4</v>
      </c>
      <c r="U49" s="143">
        <v>1.3003089872348106E-2</v>
      </c>
      <c r="V49" s="171" t="s">
        <v>41</v>
      </c>
      <c r="W49" s="143">
        <v>3.9640299003458113E-2</v>
      </c>
      <c r="X49" s="143">
        <v>5.1420790080556777E-2</v>
      </c>
      <c r="Y49" s="143">
        <v>0.1469630924958063</v>
      </c>
    </row>
    <row r="50" spans="1:25" x14ac:dyDescent="0.35">
      <c r="B50" s="50" t="s">
        <v>36</v>
      </c>
      <c r="C50" s="74"/>
      <c r="D50" s="74"/>
      <c r="E50" s="74"/>
      <c r="F50" s="74"/>
      <c r="G50" s="74"/>
      <c r="H50" s="149">
        <v>0.39298843637633818</v>
      </c>
      <c r="I50" s="149">
        <v>0.39422694470477626</v>
      </c>
      <c r="J50" s="149">
        <v>0.36420986454103849</v>
      </c>
      <c r="K50" s="149">
        <v>0.36124523899765132</v>
      </c>
      <c r="L50" s="149">
        <v>0.37876139173967155</v>
      </c>
      <c r="M50" s="149">
        <v>0.3608829580731307</v>
      </c>
      <c r="N50" s="149">
        <v>0.37618044598199635</v>
      </c>
      <c r="O50" s="149">
        <v>0.37246385515489999</v>
      </c>
      <c r="P50" s="149">
        <v>0.37220264468450009</v>
      </c>
      <c r="Q50" s="149">
        <v>0.37050471023888515</v>
      </c>
      <c r="R50" s="149">
        <v>0.3734162775029235</v>
      </c>
      <c r="S50" s="149">
        <v>0.37756526191478995</v>
      </c>
      <c r="T50" s="149">
        <v>0.38311183840788127</v>
      </c>
      <c r="U50" s="143">
        <v>0.38808081469348321</v>
      </c>
      <c r="V50" s="149">
        <v>0.38061514731857798</v>
      </c>
      <c r="W50" s="149">
        <v>0.36899999999999999</v>
      </c>
      <c r="X50" s="149">
        <v>0.34818760459000719</v>
      </c>
      <c r="Y50" s="149">
        <v>0.34394912758499369</v>
      </c>
    </row>
    <row r="51" spans="1:25" x14ac:dyDescent="0.35">
      <c r="B51" s="2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</row>
    <row r="52" spans="1:25" x14ac:dyDescent="0.35">
      <c r="A52" s="119"/>
      <c r="B52" s="119" t="s">
        <v>154</v>
      </c>
      <c r="C52" s="140">
        <v>46925.2557848</v>
      </c>
      <c r="D52" s="140">
        <v>49049.718228500002</v>
      </c>
      <c r="E52" s="140">
        <v>52478.7719182</v>
      </c>
      <c r="F52" s="140">
        <v>54991.197507500001</v>
      </c>
      <c r="G52" s="140">
        <f>SUM(C52:F52)</f>
        <v>203444.943439</v>
      </c>
      <c r="H52" s="140">
        <v>63910.053161399999</v>
      </c>
      <c r="I52" s="140">
        <v>65541.704063800003</v>
      </c>
      <c r="J52" s="140">
        <v>67699.705008300007</v>
      </c>
      <c r="K52" s="140">
        <v>68893.416792999997</v>
      </c>
      <c r="L52" s="140">
        <f>SUM(H52:K52)</f>
        <v>266044.87902650004</v>
      </c>
      <c r="M52" s="140">
        <v>74331</v>
      </c>
      <c r="N52" s="140">
        <v>79217.38673530001</v>
      </c>
      <c r="O52" s="140">
        <v>86160</v>
      </c>
      <c r="P52" s="140">
        <v>84850</v>
      </c>
      <c r="Q52" s="140">
        <f>ROUNDDOWN(SUM(M52:P52),0)</f>
        <v>324558</v>
      </c>
      <c r="R52" s="140">
        <v>85669</v>
      </c>
      <c r="S52" s="140">
        <v>91708</v>
      </c>
      <c r="T52" s="140">
        <v>92771</v>
      </c>
      <c r="U52" s="140">
        <f>V52-SUM(R52:T52)</f>
        <v>92016</v>
      </c>
      <c r="V52" s="140">
        <v>362164</v>
      </c>
      <c r="W52" s="140">
        <v>97108</v>
      </c>
      <c r="X52" s="140">
        <v>105156</v>
      </c>
      <c r="Y52" s="140">
        <v>111585</v>
      </c>
    </row>
    <row r="53" spans="1:25" x14ac:dyDescent="0.35">
      <c r="B53" s="50" t="s">
        <v>181</v>
      </c>
      <c r="C53" s="142"/>
      <c r="D53" s="142"/>
      <c r="E53" s="142"/>
      <c r="F53" s="142"/>
      <c r="G53" s="142"/>
      <c r="H53" s="143">
        <f>IFERROR(H52/C52-1,"")</f>
        <v>0.36195428437284516</v>
      </c>
      <c r="I53" s="143">
        <f t="shared" ref="I53" si="48">IFERROR(I52/D52-1,"")</f>
        <v>0.33622998114834113</v>
      </c>
      <c r="J53" s="143">
        <f t="shared" ref="J53" si="49">IFERROR(J52/E52-1,"")</f>
        <v>0.29003981102730947</v>
      </c>
      <c r="K53" s="143">
        <f t="shared" ref="K53" si="50">IFERROR(K52/F52-1,"")</f>
        <v>0.25280808412298961</v>
      </c>
      <c r="L53" s="143">
        <f t="shared" ref="L53" si="51">IFERROR(L52/G52-1,"")</f>
        <v>0.30769963868022954</v>
      </c>
      <c r="M53" s="143">
        <f t="shared" ref="M53" si="52">IFERROR(M52/H52-1,"")</f>
        <v>0.16305645705352001</v>
      </c>
      <c r="N53" s="143">
        <f t="shared" ref="N53" si="53">IFERROR(N52/I52-1,"")</f>
        <v>0.20865619633855936</v>
      </c>
      <c r="O53" s="143">
        <f t="shared" ref="O53" si="54">IFERROR(O52/J52-1,"")</f>
        <v>0.2726791053142219</v>
      </c>
      <c r="P53" s="143">
        <f t="shared" ref="P53" si="55">IFERROR(P52/K52-1,"")</f>
        <v>0.23161259739727824</v>
      </c>
      <c r="Q53" s="143">
        <f t="shared" ref="Q53:Y53" si="56">IFERROR(Q52/L52-1,"")</f>
        <v>0.21993703163018452</v>
      </c>
      <c r="R53" s="143">
        <f t="shared" si="56"/>
        <v>0.15253393604283549</v>
      </c>
      <c r="S53" s="143">
        <f t="shared" si="56"/>
        <v>0.1576751490987276</v>
      </c>
      <c r="T53" s="143">
        <f t="shared" si="56"/>
        <v>7.6729340761374276E-2</v>
      </c>
      <c r="U53" s="143">
        <f t="shared" si="56"/>
        <v>8.445492044784908E-2</v>
      </c>
      <c r="V53" s="143">
        <f t="shared" si="56"/>
        <v>0.11586835018702368</v>
      </c>
      <c r="W53" s="143">
        <f t="shared" si="56"/>
        <v>0.13352554599680166</v>
      </c>
      <c r="X53" s="143">
        <f t="shared" si="56"/>
        <v>0.14663933353687786</v>
      </c>
      <c r="Y53" s="143">
        <f t="shared" si="56"/>
        <v>0.20280044410429987</v>
      </c>
    </row>
    <row r="54" spans="1:25" x14ac:dyDescent="0.35">
      <c r="B54" s="50" t="s">
        <v>77</v>
      </c>
      <c r="C54" s="143"/>
      <c r="D54" s="143"/>
      <c r="E54" s="143"/>
      <c r="F54" s="143"/>
      <c r="G54" s="143"/>
      <c r="H54" s="143">
        <v>0.44411140382446623</v>
      </c>
      <c r="I54" s="143">
        <v>0.3556556366524295</v>
      </c>
      <c r="J54" s="143">
        <v>0.25681864484820216</v>
      </c>
      <c r="K54" s="143">
        <v>0.23063510285681033</v>
      </c>
      <c r="L54" s="143">
        <v>0.31677011223230589</v>
      </c>
      <c r="M54" s="143">
        <v>0.1564229913234465</v>
      </c>
      <c r="N54" s="143">
        <v>0.2114120265728201</v>
      </c>
      <c r="O54" s="143">
        <v>0.2512489779098892</v>
      </c>
      <c r="P54" s="143">
        <v>0.23420347730305724</v>
      </c>
      <c r="Q54" s="143">
        <v>0.21424154432061471</v>
      </c>
      <c r="R54" s="143">
        <v>0.16997951015625445</v>
      </c>
      <c r="S54" s="143">
        <v>0.14965368058595496</v>
      </c>
      <c r="T54" s="143">
        <v>8.3545414827455255E-2</v>
      </c>
      <c r="U54" s="143">
        <v>8.1005740033622819E-2</v>
      </c>
      <c r="V54" s="143">
        <v>0.11881238903926761</v>
      </c>
      <c r="W54" s="143">
        <v>0.10934376875914986</v>
      </c>
      <c r="X54" s="143">
        <v>0.16293858909782966</v>
      </c>
      <c r="Y54" s="143">
        <v>0.21131488900696582</v>
      </c>
    </row>
    <row r="55" spans="1:25" x14ac:dyDescent="0.35">
      <c r="B55" s="50" t="s">
        <v>161</v>
      </c>
      <c r="C55" s="143"/>
      <c r="D55" s="143"/>
      <c r="E55" s="143"/>
      <c r="F55" s="143"/>
      <c r="G55" s="143"/>
      <c r="H55" s="143">
        <v>0.14552471770069064</v>
      </c>
      <c r="I55" s="143">
        <v>1.8769191131792873E-2</v>
      </c>
      <c r="J55" s="143">
        <v>3.4431282579064915E-2</v>
      </c>
      <c r="K55" s="143">
        <v>1.9836939912264651E-2</v>
      </c>
      <c r="L55" s="171" t="s">
        <v>41</v>
      </c>
      <c r="M55" s="143">
        <v>7.5772035387413839E-2</v>
      </c>
      <c r="N55" s="143">
        <v>6.8973789692918563E-2</v>
      </c>
      <c r="O55" s="143">
        <v>6.7442825392007855E-2</v>
      </c>
      <c r="P55" s="143">
        <v>6.376513582765142E-3</v>
      </c>
      <c r="Q55" s="171" t="s">
        <v>41</v>
      </c>
      <c r="R55" s="143">
        <v>1.9742376752316826E-2</v>
      </c>
      <c r="S55" s="143">
        <v>4.7350509438401911E-2</v>
      </c>
      <c r="T55" s="143">
        <v>1.714038201393997E-2</v>
      </c>
      <c r="U55" s="143">
        <v>-5.1306515293620958E-3</v>
      </c>
      <c r="V55" s="171" t="s">
        <v>41</v>
      </c>
      <c r="W55" s="143">
        <v>5.3972334144638756E-2</v>
      </c>
      <c r="X55" s="143">
        <v>8.8513191520593226E-2</v>
      </c>
      <c r="Y55" s="143">
        <v>6.265550072820214E-2</v>
      </c>
    </row>
    <row r="56" spans="1:25" x14ac:dyDescent="0.35">
      <c r="B56" s="50" t="s">
        <v>36</v>
      </c>
      <c r="C56" s="74"/>
      <c r="D56" s="74"/>
      <c r="E56" s="74"/>
      <c r="F56" s="74"/>
      <c r="G56" s="74"/>
      <c r="H56" s="149">
        <v>0.37470458768235854</v>
      </c>
      <c r="I56" s="149">
        <v>0.34668550793219338</v>
      </c>
      <c r="J56" s="149">
        <v>0.34991467745384885</v>
      </c>
      <c r="K56" s="149">
        <v>0.33448641945192947</v>
      </c>
      <c r="L56" s="149">
        <v>0.3510790441562921</v>
      </c>
      <c r="M56" s="149">
        <v>0.35859707673410901</v>
      </c>
      <c r="N56" s="149">
        <v>0.34058630309471327</v>
      </c>
      <c r="O56" s="149">
        <v>0.35619174693185279</v>
      </c>
      <c r="P56" s="149">
        <v>0.34799891820055195</v>
      </c>
      <c r="Q56" s="149">
        <v>0.3507921679781606</v>
      </c>
      <c r="R56" s="149">
        <v>0.36626253031160388</v>
      </c>
      <c r="S56" s="149">
        <v>0.35132158590308371</v>
      </c>
      <c r="T56" s="149">
        <v>0.35812915674079182</v>
      </c>
      <c r="U56" s="143">
        <v>0.34298498259456062</v>
      </c>
      <c r="V56" s="149">
        <v>0.35452446957731859</v>
      </c>
      <c r="W56" s="149">
        <v>0.34100000000000003</v>
      </c>
      <c r="X56" s="149">
        <v>0.35106888812811443</v>
      </c>
      <c r="Y56" s="149">
        <v>0.36184074920464221</v>
      </c>
    </row>
    <row r="57" spans="1:25" x14ac:dyDescent="0.35">
      <c r="B57" s="50"/>
    </row>
    <row r="58" spans="1:25" x14ac:dyDescent="0.35">
      <c r="A58" s="139"/>
      <c r="B58" s="119" t="s">
        <v>177</v>
      </c>
      <c r="C58" s="154">
        <f t="shared" ref="C58:W58" si="57">C34+C40+C46+C52</f>
        <v>329207.74923669995</v>
      </c>
      <c r="D58" s="154">
        <f t="shared" si="57"/>
        <v>346782.37097509997</v>
      </c>
      <c r="E58" s="154">
        <f t="shared" si="57"/>
        <v>361351.25608939998</v>
      </c>
      <c r="F58" s="154">
        <f t="shared" si="57"/>
        <v>374702.60060970002</v>
      </c>
      <c r="G58" s="154">
        <f t="shared" si="57"/>
        <v>1412043.9769109001</v>
      </c>
      <c r="H58" s="154">
        <f t="shared" si="57"/>
        <v>400643.05805170001</v>
      </c>
      <c r="I58" s="154">
        <f t="shared" si="57"/>
        <v>404996.16399889998</v>
      </c>
      <c r="J58" s="154">
        <f t="shared" si="57"/>
        <v>410970.91445530002</v>
      </c>
      <c r="K58" s="154">
        <f t="shared" si="57"/>
        <v>414057.94966600003</v>
      </c>
      <c r="L58" s="154">
        <f t="shared" si="57"/>
        <v>1630668.0861719002</v>
      </c>
      <c r="M58" s="154">
        <f t="shared" si="57"/>
        <v>436506.75519519998</v>
      </c>
      <c r="N58" s="154">
        <f t="shared" si="57"/>
        <v>448366.15433649998</v>
      </c>
      <c r="O58" s="154">
        <f t="shared" si="57"/>
        <v>472072.7400092</v>
      </c>
      <c r="P58" s="154">
        <f t="shared" si="57"/>
        <v>481426</v>
      </c>
      <c r="Q58" s="154">
        <f>(Q34+Q40+Q46+Q52)</f>
        <v>1838372</v>
      </c>
      <c r="R58" s="154">
        <f t="shared" si="57"/>
        <v>501019</v>
      </c>
      <c r="S58" s="154">
        <f t="shared" si="57"/>
        <v>514460</v>
      </c>
      <c r="T58" s="154">
        <f t="shared" si="57"/>
        <v>529585</v>
      </c>
      <c r="U58" s="154">
        <f t="shared" si="57"/>
        <v>542615</v>
      </c>
      <c r="V58" s="154">
        <f t="shared" si="57"/>
        <v>2087679</v>
      </c>
      <c r="W58" s="154">
        <f t="shared" si="57"/>
        <v>570351</v>
      </c>
      <c r="X58" s="154">
        <f t="shared" ref="X58:Y58" si="58">X34+X40+X46+X52</f>
        <v>594763</v>
      </c>
      <c r="Y58" s="154">
        <f t="shared" si="58"/>
        <v>633959</v>
      </c>
    </row>
    <row r="59" spans="1:25" x14ac:dyDescent="0.35">
      <c r="B59" s="50"/>
      <c r="C59" s="195"/>
      <c r="D59" s="195"/>
      <c r="E59" s="195"/>
      <c r="F59" s="195"/>
      <c r="G59" s="195"/>
      <c r="H59" s="195"/>
      <c r="I59" s="198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</row>
    <row r="60" spans="1:25" ht="49.5" customHeight="1" x14ac:dyDescent="0.35">
      <c r="B60" s="225" t="s">
        <v>210</v>
      </c>
      <c r="C60" s="225"/>
      <c r="D60" s="225"/>
      <c r="E60" s="225"/>
      <c r="F60" s="225"/>
      <c r="G60" s="225"/>
      <c r="H60" s="225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14"/>
    </row>
    <row r="61" spans="1:25" ht="13.5" customHeight="1" x14ac:dyDescent="0.35">
      <c r="B61" s="50"/>
    </row>
    <row r="62" spans="1:25" ht="15.5" x14ac:dyDescent="0.35">
      <c r="B62" s="159" t="s">
        <v>202</v>
      </c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</row>
    <row r="63" spans="1:25" x14ac:dyDescent="0.35">
      <c r="A63" s="119"/>
      <c r="B63" s="119" t="s">
        <v>76</v>
      </c>
      <c r="C63" s="168">
        <v>135663.65103739986</v>
      </c>
      <c r="D63" s="168">
        <v>141866.47826600005</v>
      </c>
      <c r="E63" s="168">
        <v>149333.29016689997</v>
      </c>
      <c r="F63" s="168">
        <v>155956.04112889993</v>
      </c>
      <c r="G63" s="168">
        <f>SUM(C63:F63)</f>
        <v>582819.46059919987</v>
      </c>
      <c r="H63" s="140">
        <v>163534.86315989954</v>
      </c>
      <c r="I63" s="140">
        <v>164376.86029549976</v>
      </c>
      <c r="J63" s="140">
        <v>170787</v>
      </c>
      <c r="K63" s="140">
        <v>174170.6501427998</v>
      </c>
      <c r="L63" s="140">
        <f>SUM(H63:K63)</f>
        <v>672869.3735981991</v>
      </c>
      <c r="M63" s="140">
        <v>183058.7630741001</v>
      </c>
      <c r="N63" s="140">
        <v>185660.16249630033</v>
      </c>
      <c r="O63" s="140">
        <v>197044.79557270018</v>
      </c>
      <c r="P63" s="140">
        <v>201547</v>
      </c>
      <c r="Q63" s="140">
        <f>ROUND(SUM(M63:P63),0)</f>
        <v>767311</v>
      </c>
      <c r="R63" s="140">
        <v>200361.25199999998</v>
      </c>
      <c r="S63" s="140">
        <v>203222</v>
      </c>
      <c r="T63" s="140">
        <v>211147</v>
      </c>
      <c r="U63" s="140">
        <f>V63-SUM(R63:T63)</f>
        <v>215168.74800000002</v>
      </c>
      <c r="V63" s="140">
        <v>829899</v>
      </c>
      <c r="W63" s="140">
        <v>226060</v>
      </c>
      <c r="X63" s="140">
        <v>233701</v>
      </c>
      <c r="Y63" s="140">
        <v>246402</v>
      </c>
    </row>
    <row r="64" spans="1:25" x14ac:dyDescent="0.35">
      <c r="A64" s="155"/>
      <c r="B64" s="32" t="s">
        <v>64</v>
      </c>
      <c r="C64" s="156"/>
      <c r="D64" s="156"/>
      <c r="E64" s="156"/>
      <c r="F64" s="156"/>
      <c r="G64" s="156"/>
      <c r="H64" s="156">
        <f t="shared" ref="H64:W64" si="59">H63/H$84</f>
        <v>0.40818094778718678</v>
      </c>
      <c r="I64" s="156">
        <f t="shared" si="59"/>
        <v>0.40587313620213555</v>
      </c>
      <c r="J64" s="156">
        <f t="shared" si="59"/>
        <v>0.41556946840531328</v>
      </c>
      <c r="K64" s="156">
        <f t="shared" si="59"/>
        <v>0.42064313330433412</v>
      </c>
      <c r="L64" s="156">
        <f t="shared" si="59"/>
        <v>0.41263426556099003</v>
      </c>
      <c r="M64" s="156">
        <f t="shared" si="59"/>
        <v>0.4193719774476104</v>
      </c>
      <c r="N64" s="156">
        <f t="shared" si="59"/>
        <v>0.41408191590922583</v>
      </c>
      <c r="O64" s="156">
        <f t="shared" si="59"/>
        <v>0.41740329541770815</v>
      </c>
      <c r="P64" s="156">
        <f t="shared" si="59"/>
        <v>0.41864585626866851</v>
      </c>
      <c r="Q64" s="156">
        <f t="shared" si="59"/>
        <v>0.4173861682698975</v>
      </c>
      <c r="R64" s="156">
        <f t="shared" si="59"/>
        <v>0.39990720757721143</v>
      </c>
      <c r="S64" s="156">
        <f t="shared" si="59"/>
        <v>0.39502002099288575</v>
      </c>
      <c r="T64" s="156">
        <f t="shared" si="59"/>
        <v>0.3987027578198023</v>
      </c>
      <c r="U64" s="156">
        <f t="shared" si="59"/>
        <v>0.39654062192346706</v>
      </c>
      <c r="V64" s="156">
        <f t="shared" si="59"/>
        <v>0.39752232024176132</v>
      </c>
      <c r="W64" s="156">
        <f t="shared" si="59"/>
        <v>0.39635242157899259</v>
      </c>
      <c r="X64" s="156">
        <f>IFERROR(X63/X$84,0)</f>
        <v>0.39293130204804266</v>
      </c>
      <c r="Y64" s="156">
        <f>IFERROR(Y63/Y$84,0)</f>
        <v>0.38867182262575339</v>
      </c>
    </row>
    <row r="65" spans="1:25" x14ac:dyDescent="0.35">
      <c r="A65" s="155"/>
      <c r="B65" s="50" t="s">
        <v>181</v>
      </c>
      <c r="C65" s="156"/>
      <c r="D65" s="156"/>
      <c r="E65" s="156"/>
      <c r="F65" s="156"/>
      <c r="G65" s="156"/>
      <c r="H65" s="156">
        <f t="shared" ref="H65:Y65" si="60">H63/C63-1</f>
        <v>0.20544347663779239</v>
      </c>
      <c r="I65" s="156">
        <f t="shared" si="60"/>
        <v>0.15867301637877196</v>
      </c>
      <c r="J65" s="156">
        <f t="shared" si="60"/>
        <v>0.14366327701695081</v>
      </c>
      <c r="K65" s="156">
        <f t="shared" si="60"/>
        <v>0.11679322507837475</v>
      </c>
      <c r="L65" s="156">
        <f t="shared" si="60"/>
        <v>0.15450738879998682</v>
      </c>
      <c r="M65" s="156">
        <f t="shared" si="60"/>
        <v>0.11938677500901251</v>
      </c>
      <c r="N65" s="156">
        <f t="shared" si="60"/>
        <v>0.12947870011958895</v>
      </c>
      <c r="O65" s="156">
        <f t="shared" si="60"/>
        <v>0.15374586808539403</v>
      </c>
      <c r="P65" s="156">
        <f t="shared" si="60"/>
        <v>0.15718118887857835</v>
      </c>
      <c r="Q65" s="156">
        <f t="shared" si="60"/>
        <v>0.14035655374945977</v>
      </c>
      <c r="R65" s="156">
        <f t="shared" si="60"/>
        <v>9.4518768920644369E-2</v>
      </c>
      <c r="S65" s="156">
        <f t="shared" si="60"/>
        <v>9.4591307405807346E-2</v>
      </c>
      <c r="T65" s="156">
        <f t="shared" si="60"/>
        <v>7.1568520174879691E-2</v>
      </c>
      <c r="U65" s="156">
        <f t="shared" si="60"/>
        <v>6.7585962579448156E-2</v>
      </c>
      <c r="V65" s="156">
        <f t="shared" si="60"/>
        <v>8.1567969180684319E-2</v>
      </c>
      <c r="W65" s="156">
        <f t="shared" si="60"/>
        <v>0.12826206536181961</v>
      </c>
      <c r="X65" s="156">
        <f t="shared" si="60"/>
        <v>0.14997884087352742</v>
      </c>
      <c r="Y65" s="156">
        <f t="shared" si="60"/>
        <v>0.16696898369382462</v>
      </c>
    </row>
    <row r="66" spans="1:25" x14ac:dyDescent="0.35">
      <c r="A66" s="155"/>
      <c r="B66" s="50" t="s">
        <v>77</v>
      </c>
      <c r="C66" s="156"/>
      <c r="D66" s="156"/>
      <c r="E66" s="156"/>
      <c r="F66" s="156"/>
      <c r="G66" s="156"/>
      <c r="H66" s="143">
        <v>0.21720939045991128</v>
      </c>
      <c r="I66" s="143">
        <v>0.16554260414617072</v>
      </c>
      <c r="J66" s="143">
        <v>0.14429181134640223</v>
      </c>
      <c r="K66" s="143">
        <v>0.11680166961050409</v>
      </c>
      <c r="L66" s="143">
        <v>0.15908161685177369</v>
      </c>
      <c r="M66" s="143">
        <v>0.12146784724538007</v>
      </c>
      <c r="N66" s="143">
        <v>0.12940893868735803</v>
      </c>
      <c r="O66" s="143">
        <v>0.14895201656770074</v>
      </c>
      <c r="P66" s="143">
        <v>0.15807118447699264</v>
      </c>
      <c r="Q66" s="143">
        <v>0.13985847635201321</v>
      </c>
      <c r="R66" s="143">
        <v>9.7095769849078861E-2</v>
      </c>
      <c r="S66" s="143">
        <v>9.4758734462452532E-2</v>
      </c>
      <c r="T66" s="143">
        <v>7.3448999767420808E-2</v>
      </c>
      <c r="U66" s="143">
        <v>6.7471635984484024E-2</v>
      </c>
      <c r="V66" s="143">
        <v>8.2676545304436688E-2</v>
      </c>
      <c r="W66" s="143">
        <v>0.12160418195723821</v>
      </c>
      <c r="X66" s="143">
        <v>0.14859776531962687</v>
      </c>
      <c r="Y66" s="143">
        <v>0.16495431189382903</v>
      </c>
    </row>
    <row r="67" spans="1:25" x14ac:dyDescent="0.35">
      <c r="A67" s="155"/>
      <c r="B67" s="32" t="s">
        <v>191</v>
      </c>
      <c r="C67" s="157"/>
      <c r="D67" s="157"/>
      <c r="E67" s="157"/>
      <c r="F67" s="157"/>
      <c r="G67" s="157"/>
      <c r="H67" s="157">
        <f>H63/F63-1</f>
        <v>4.8595886226270757E-2</v>
      </c>
      <c r="I67" s="157">
        <f>I63/H63-1</f>
        <v>5.148731709745169E-3</v>
      </c>
      <c r="J67" s="157">
        <f>J63/I63-1</f>
        <v>3.8996606292252656E-2</v>
      </c>
      <c r="K67" s="157">
        <f>K63/J63-1</f>
        <v>1.9812105972935923E-2</v>
      </c>
      <c r="L67" s="157" t="s">
        <v>41</v>
      </c>
      <c r="M67" s="157">
        <f>M63/K63-1</f>
        <v>5.1031060193052591E-2</v>
      </c>
      <c r="N67" s="157">
        <f>N63/M63-1</f>
        <v>1.4210734184559204E-2</v>
      </c>
      <c r="O67" s="157">
        <f>O63/N63-1</f>
        <v>6.1319740989813631E-2</v>
      </c>
      <c r="P67" s="157">
        <f>P63/O63-1</f>
        <v>2.2848634059145834E-2</v>
      </c>
      <c r="Q67" s="157" t="s">
        <v>41</v>
      </c>
      <c r="R67" s="157">
        <f>R63/P63-1</f>
        <v>-5.8832331912657132E-3</v>
      </c>
      <c r="S67" s="157">
        <f>S63/R63-1</f>
        <v>1.4277950309474097E-2</v>
      </c>
      <c r="T67" s="157">
        <f>T63/S63-1</f>
        <v>3.8996762161576992E-2</v>
      </c>
      <c r="U67" s="157">
        <f>U63/T63-1</f>
        <v>1.9047147248125729E-2</v>
      </c>
      <c r="V67" s="188" t="s">
        <v>41</v>
      </c>
      <c r="W67" s="157">
        <f>W63/U63-1</f>
        <v>5.061725785568072E-2</v>
      </c>
      <c r="X67" s="157">
        <f>X63/W63-1</f>
        <v>3.3800760859948653E-2</v>
      </c>
      <c r="Y67" s="157">
        <f>Y63/X63-1</f>
        <v>5.4347221449630112E-2</v>
      </c>
    </row>
    <row r="68" spans="1:25" x14ac:dyDescent="0.35">
      <c r="A68" s="155"/>
      <c r="B68" s="50" t="s">
        <v>161</v>
      </c>
      <c r="C68" s="156"/>
      <c r="D68" s="156"/>
      <c r="E68" s="156"/>
      <c r="F68" s="156"/>
      <c r="G68" s="156"/>
      <c r="H68" s="143">
        <v>4.704405813645729E-2</v>
      </c>
      <c r="I68" s="143">
        <v>6.6028988971280622E-3</v>
      </c>
      <c r="J68" s="143">
        <v>3.9686566997159334E-2</v>
      </c>
      <c r="K68" s="143">
        <v>1.9387352313619877E-2</v>
      </c>
      <c r="L68" s="171" t="s">
        <v>41</v>
      </c>
      <c r="M68" s="143">
        <v>5.1627817145587063E-2</v>
      </c>
      <c r="N68" s="143">
        <v>1.3641153052527333E-2</v>
      </c>
      <c r="O68" s="143">
        <v>5.7670542492460841E-2</v>
      </c>
      <c r="P68" s="143">
        <v>2.6904297722208481E-2</v>
      </c>
      <c r="Q68" s="171" t="s">
        <v>41</v>
      </c>
      <c r="R68" s="143">
        <v>-4.1697425497299045E-3</v>
      </c>
      <c r="S68" s="143">
        <v>1.1210951790070478E-2</v>
      </c>
      <c r="T68" s="143">
        <v>3.9414742771834099E-2</v>
      </c>
      <c r="U68" s="143">
        <v>1.9253878430151472E-2</v>
      </c>
      <c r="V68" s="188" t="s">
        <v>41</v>
      </c>
      <c r="W68" s="143">
        <v>4.8413241856002154E-2</v>
      </c>
      <c r="X68" s="143">
        <v>3.3988137233117222E-2</v>
      </c>
      <c r="Y68" s="143">
        <v>5.45304719642552E-2</v>
      </c>
    </row>
    <row r="69" spans="1:25" x14ac:dyDescent="0.35">
      <c r="A69" s="155"/>
      <c r="B69" s="50"/>
      <c r="C69" s="156"/>
      <c r="D69" s="156"/>
      <c r="E69" s="156"/>
      <c r="F69" s="156"/>
      <c r="G69" s="156"/>
      <c r="H69" s="143"/>
      <c r="I69" s="143"/>
      <c r="J69" s="143"/>
      <c r="K69" s="143"/>
      <c r="L69" s="171"/>
      <c r="M69" s="143"/>
      <c r="N69" s="143"/>
      <c r="O69" s="143"/>
      <c r="P69" s="143"/>
      <c r="Q69" s="171"/>
      <c r="R69" s="143"/>
      <c r="S69" s="143"/>
      <c r="T69" s="143"/>
      <c r="U69" s="143"/>
      <c r="V69" s="143"/>
      <c r="W69" s="143"/>
      <c r="X69" s="143"/>
      <c r="Y69" s="143"/>
    </row>
    <row r="70" spans="1:25" x14ac:dyDescent="0.35">
      <c r="A70" s="119"/>
      <c r="B70" s="119" t="s">
        <v>152</v>
      </c>
      <c r="C70" s="168">
        <v>71907.491080599997</v>
      </c>
      <c r="D70" s="168">
        <v>73920.660845699982</v>
      </c>
      <c r="E70" s="168">
        <v>75509.196349399979</v>
      </c>
      <c r="F70" s="168">
        <v>80453.716388599962</v>
      </c>
      <c r="G70" s="168">
        <f>SUM(C70:F70)</f>
        <v>301791.06466429989</v>
      </c>
      <c r="H70" s="140">
        <v>86730.815244399942</v>
      </c>
      <c r="I70" s="140">
        <v>90033.684872300058</v>
      </c>
      <c r="J70" s="140">
        <v>94427</v>
      </c>
      <c r="K70" s="140">
        <v>96148.07743110013</v>
      </c>
      <c r="L70" s="140">
        <f>SUM(H70:K70)</f>
        <v>367339.57754780015</v>
      </c>
      <c r="M70" s="140">
        <v>100900.13991030001</v>
      </c>
      <c r="N70" s="140">
        <v>106438</v>
      </c>
      <c r="O70" s="140">
        <v>111496.05263810002</v>
      </c>
      <c r="P70" s="140">
        <v>112956</v>
      </c>
      <c r="Q70" s="140">
        <f>SUM(M70:P70)</f>
        <v>431790.19254840002</v>
      </c>
      <c r="R70" s="140">
        <v>125826.29300000001</v>
      </c>
      <c r="S70" s="140">
        <v>129737</v>
      </c>
      <c r="T70" s="140">
        <v>135503</v>
      </c>
      <c r="U70" s="140">
        <f>V70-SUM(R70:T70)</f>
        <v>142475.70699999999</v>
      </c>
      <c r="V70" s="140">
        <v>533542</v>
      </c>
      <c r="W70" s="140">
        <v>152115</v>
      </c>
      <c r="X70" s="140">
        <v>158257</v>
      </c>
      <c r="Y70" s="140">
        <v>160914</v>
      </c>
    </row>
    <row r="71" spans="1:25" x14ac:dyDescent="0.35">
      <c r="A71" s="155"/>
      <c r="B71" s="32" t="s">
        <v>64</v>
      </c>
      <c r="C71" s="156"/>
      <c r="D71" s="156"/>
      <c r="E71" s="156"/>
      <c r="F71" s="156"/>
      <c r="G71" s="156"/>
      <c r="H71" s="156">
        <f t="shared" ref="H71:W71" si="61">+H70/H$84</f>
        <v>0.21647901667425901</v>
      </c>
      <c r="I71" s="156">
        <f t="shared" si="61"/>
        <v>0.22230777481248454</v>
      </c>
      <c r="J71" s="156">
        <f t="shared" si="61"/>
        <v>0.22976560389905856</v>
      </c>
      <c r="K71" s="156">
        <f t="shared" si="61"/>
        <v>0.23220920699696684</v>
      </c>
      <c r="L71" s="156">
        <f t="shared" si="61"/>
        <v>0.2252694248548669</v>
      </c>
      <c r="M71" s="156">
        <f t="shared" si="61"/>
        <v>0.23115359509882938</v>
      </c>
      <c r="N71" s="156">
        <f t="shared" si="61"/>
        <v>0.23739099639334016</v>
      </c>
      <c r="O71" s="156">
        <f t="shared" si="61"/>
        <v>0.2361839583834052</v>
      </c>
      <c r="P71" s="156">
        <f t="shared" si="61"/>
        <v>0.23462795943717207</v>
      </c>
      <c r="Q71" s="156">
        <f t="shared" si="61"/>
        <v>0.23487641121305172</v>
      </c>
      <c r="R71" s="156">
        <f t="shared" si="61"/>
        <v>0.25114058217914326</v>
      </c>
      <c r="S71" s="156">
        <f t="shared" si="61"/>
        <v>0.25218092757454419</v>
      </c>
      <c r="T71" s="156">
        <f t="shared" si="61"/>
        <v>0.25586638594371064</v>
      </c>
      <c r="U71" s="156">
        <f t="shared" si="61"/>
        <v>0.26257254358688586</v>
      </c>
      <c r="V71" s="156">
        <f t="shared" si="61"/>
        <v>0.25556706754247183</v>
      </c>
      <c r="W71" s="156">
        <f t="shared" si="61"/>
        <v>0.26670418742142998</v>
      </c>
      <c r="X71" s="156">
        <f>IFERROR(X70/X$84,0)</f>
        <v>0.26608413771535888</v>
      </c>
      <c r="Y71" s="156">
        <f>IFERROR(Y70/Y$84,0)</f>
        <v>0.25382398546278229</v>
      </c>
    </row>
    <row r="72" spans="1:25" x14ac:dyDescent="0.35">
      <c r="A72" s="155"/>
      <c r="B72" s="50" t="s">
        <v>181</v>
      </c>
      <c r="C72" s="156"/>
      <c r="D72" s="156"/>
      <c r="E72" s="156"/>
      <c r="F72" s="156"/>
      <c r="G72" s="156"/>
      <c r="H72" s="156">
        <f t="shared" ref="H72:T72" si="62">H70/C70-1</f>
        <v>0.20614436606034148</v>
      </c>
      <c r="I72" s="156">
        <f t="shared" si="62"/>
        <v>0.21797727241960096</v>
      </c>
      <c r="J72" s="156">
        <f t="shared" si="62"/>
        <v>0.25053641894243728</v>
      </c>
      <c r="K72" s="156">
        <f t="shared" si="62"/>
        <v>0.19507316438552991</v>
      </c>
      <c r="L72" s="156">
        <f t="shared" si="62"/>
        <v>0.21719832214520252</v>
      </c>
      <c r="M72" s="156">
        <f t="shared" si="62"/>
        <v>0.16337128419665081</v>
      </c>
      <c r="N72" s="156">
        <f t="shared" si="62"/>
        <v>0.18220197419407103</v>
      </c>
      <c r="O72" s="156">
        <f t="shared" si="62"/>
        <v>0.18076453385260605</v>
      </c>
      <c r="P72" s="156">
        <f t="shared" si="62"/>
        <v>0.174812882565899</v>
      </c>
      <c r="Q72" s="156">
        <f t="shared" si="62"/>
        <v>0.17545241226345465</v>
      </c>
      <c r="R72" s="156">
        <f t="shared" si="62"/>
        <v>0.24703784466363765</v>
      </c>
      <c r="S72" s="156">
        <f t="shared" si="62"/>
        <v>0.2188973862718202</v>
      </c>
      <c r="T72" s="156">
        <f t="shared" si="62"/>
        <v>0.21531656766202323</v>
      </c>
      <c r="U72" s="156">
        <f t="shared" ref="U72" si="63">U70/P70-1</f>
        <v>0.26133810510287181</v>
      </c>
      <c r="V72" s="156">
        <f t="shared" ref="V72:Y72" si="64">V70/Q70-1</f>
        <v>0.23565103887855088</v>
      </c>
      <c r="W72" s="156">
        <f t="shared" si="64"/>
        <v>0.2089285663052951</v>
      </c>
      <c r="X72" s="156">
        <f t="shared" si="64"/>
        <v>0.21982934706367496</v>
      </c>
      <c r="Y72" s="156">
        <f t="shared" si="64"/>
        <v>0.18753090337483314</v>
      </c>
    </row>
    <row r="73" spans="1:25" x14ac:dyDescent="0.35">
      <c r="A73" s="155"/>
      <c r="B73" s="50" t="s">
        <v>77</v>
      </c>
      <c r="C73" s="156"/>
      <c r="D73" s="156"/>
      <c r="E73" s="156"/>
      <c r="F73" s="156"/>
      <c r="G73" s="156"/>
      <c r="H73" s="143">
        <v>0.20658735262017469</v>
      </c>
      <c r="I73" s="143">
        <v>0.2182176000884386</v>
      </c>
      <c r="J73" s="143">
        <v>0.25051620086869497</v>
      </c>
      <c r="K73" s="143">
        <v>0.19505341763955841</v>
      </c>
      <c r="L73" s="143">
        <v>0.21735241511893477</v>
      </c>
      <c r="M73" s="143">
        <v>0.16333089321116168</v>
      </c>
      <c r="N73" s="143">
        <v>0.1821890676702338</v>
      </c>
      <c r="O73" s="143">
        <v>0.1807178141482122</v>
      </c>
      <c r="P73" s="143">
        <v>0.17479741808403126</v>
      </c>
      <c r="Q73" s="143">
        <v>0.17542364757566076</v>
      </c>
      <c r="R73" s="143">
        <v>0.24705007285877256</v>
      </c>
      <c r="S73" s="143">
        <v>0.21885583205827364</v>
      </c>
      <c r="T73" s="143">
        <v>0.21529351474856107</v>
      </c>
      <c r="U73" s="143">
        <v>0.26129611925306806</v>
      </c>
      <c r="V73" s="143">
        <v>0.23562670498743388</v>
      </c>
      <c r="W73" s="143">
        <v>0.20887065064144883</v>
      </c>
      <c r="X73" s="143">
        <v>0.21984075827156824</v>
      </c>
      <c r="Y73" s="143">
        <v>0.1875416117214217</v>
      </c>
    </row>
    <row r="74" spans="1:25" x14ac:dyDescent="0.35">
      <c r="A74" s="155"/>
      <c r="B74" s="32" t="s">
        <v>191</v>
      </c>
      <c r="C74" s="157"/>
      <c r="D74" s="157"/>
      <c r="E74" s="157"/>
      <c r="F74" s="157"/>
      <c r="G74" s="157"/>
      <c r="H74" s="157">
        <f>H70/F70-1</f>
        <v>7.8021241747005643E-2</v>
      </c>
      <c r="I74" s="157">
        <f>I70/H70-1</f>
        <v>3.8081846902890515E-2</v>
      </c>
      <c r="J74" s="157">
        <f>J70/I70-1</f>
        <v>4.8796349210089796E-2</v>
      </c>
      <c r="K74" s="157">
        <f>K70/J70-1</f>
        <v>1.8226539348916493E-2</v>
      </c>
      <c r="L74" s="157" t="s">
        <v>41</v>
      </c>
      <c r="M74" s="157">
        <f>M70/K70-1</f>
        <v>4.9424414987446985E-2</v>
      </c>
      <c r="N74" s="157">
        <f>N70/M70-1</f>
        <v>5.488456304047884E-2</v>
      </c>
      <c r="O74" s="157">
        <f>O70/N70-1</f>
        <v>4.7521116876491742E-2</v>
      </c>
      <c r="P74" s="157">
        <f>P70/O70-1</f>
        <v>1.3094161877091226E-2</v>
      </c>
      <c r="Q74" s="157" t="s">
        <v>41</v>
      </c>
      <c r="R74" s="157">
        <f>R70/P70-1</f>
        <v>0.11394076454548685</v>
      </c>
      <c r="S74" s="157">
        <f>S70/R70-1</f>
        <v>3.1080205152352436E-2</v>
      </c>
      <c r="T74" s="157">
        <f>T70/S70-1</f>
        <v>4.4443759297656094E-2</v>
      </c>
      <c r="U74" s="157">
        <f>U70/T70-1</f>
        <v>5.1457952960451081E-2</v>
      </c>
      <c r="V74" s="188" t="s">
        <v>41</v>
      </c>
      <c r="W74" s="157">
        <f>W70/U70-1</f>
        <v>6.7655695156508378E-2</v>
      </c>
      <c r="X74" s="157">
        <f>X70/W70-1</f>
        <v>4.0377346086842181E-2</v>
      </c>
      <c r="Y74" s="157">
        <f>Y70/X70-1</f>
        <v>1.6789146767599572E-2</v>
      </c>
    </row>
    <row r="75" spans="1:25" x14ac:dyDescent="0.35">
      <c r="A75" s="155"/>
      <c r="B75" s="50" t="s">
        <v>161</v>
      </c>
      <c r="C75" s="156"/>
      <c r="D75" s="156"/>
      <c r="E75" s="156"/>
      <c r="F75" s="156"/>
      <c r="G75" s="156"/>
      <c r="H75" s="143">
        <v>7.7978784563505599E-2</v>
      </c>
      <c r="I75" s="143">
        <v>3.8058578658560771E-2</v>
      </c>
      <c r="J75" s="143">
        <v>4.8807607818481369E-2</v>
      </c>
      <c r="K75" s="143">
        <v>1.8274538959614839E-2</v>
      </c>
      <c r="L75" s="171" t="s">
        <v>41</v>
      </c>
      <c r="M75" s="143">
        <v>4.9411913170124055E-2</v>
      </c>
      <c r="N75" s="143">
        <v>5.4888301159180752E-2</v>
      </c>
      <c r="O75" s="143">
        <v>4.747766753935112E-2</v>
      </c>
      <c r="P75" s="143">
        <v>1.3133108704330931E-2</v>
      </c>
      <c r="Q75" s="171" t="s">
        <v>41</v>
      </c>
      <c r="R75" s="143">
        <v>0.1139514742879475</v>
      </c>
      <c r="S75" s="143">
        <v>3.1036742522621896E-2</v>
      </c>
      <c r="T75" s="143">
        <v>4.4446285113549866E-2</v>
      </c>
      <c r="U75" s="143">
        <v>5.145642269719608E-2</v>
      </c>
      <c r="V75" s="188" t="s">
        <v>41</v>
      </c>
      <c r="W75" s="143">
        <v>6.7653972988140465E-2</v>
      </c>
      <c r="X75" s="143">
        <v>4.03729413668934E-2</v>
      </c>
      <c r="Y75" s="143">
        <v>1.6793536009631183E-2</v>
      </c>
    </row>
    <row r="76" spans="1:25" x14ac:dyDescent="0.35">
      <c r="A76" s="155"/>
      <c r="B76" s="50"/>
      <c r="C76" s="156"/>
      <c r="D76" s="156"/>
      <c r="E76" s="156"/>
      <c r="F76" s="156"/>
      <c r="G76" s="156"/>
      <c r="H76" s="143"/>
      <c r="I76" s="143"/>
      <c r="J76" s="143"/>
      <c r="K76" s="143"/>
      <c r="L76" s="171"/>
      <c r="M76" s="143"/>
      <c r="N76" s="143"/>
      <c r="O76" s="143"/>
      <c r="P76" s="143"/>
      <c r="Q76" s="171"/>
      <c r="R76" s="143"/>
      <c r="S76" s="143"/>
      <c r="T76" s="143"/>
      <c r="U76" s="143"/>
      <c r="V76" s="143"/>
      <c r="W76" s="143"/>
      <c r="X76" s="143"/>
      <c r="Y76" s="143"/>
    </row>
    <row r="77" spans="1:25" x14ac:dyDescent="0.35">
      <c r="A77" s="119"/>
      <c r="B77" s="119" t="s">
        <v>156</v>
      </c>
      <c r="C77" s="168">
        <v>121636.60711870003</v>
      </c>
      <c r="D77" s="168">
        <v>130995.23185800004</v>
      </c>
      <c r="E77" s="168">
        <v>136508.76957309985</v>
      </c>
      <c r="F77" s="168">
        <v>138292.84309219997</v>
      </c>
      <c r="G77" s="168">
        <f>SUM(C77:F77)</f>
        <v>527433.45164199988</v>
      </c>
      <c r="H77" s="140">
        <v>150377.37964739988</v>
      </c>
      <c r="I77" s="140">
        <v>150585.11883109994</v>
      </c>
      <c r="J77" s="140">
        <v>145757</v>
      </c>
      <c r="K77" s="140">
        <v>143739.26209210002</v>
      </c>
      <c r="L77" s="140">
        <f>SUM(H77:K77)</f>
        <v>590458.76057059981</v>
      </c>
      <c r="M77" s="140">
        <v>152548</v>
      </c>
      <c r="N77" s="140">
        <v>156267.62060879997</v>
      </c>
      <c r="O77" s="140">
        <v>163532.07918549998</v>
      </c>
      <c r="P77" s="140">
        <v>166923</v>
      </c>
      <c r="Q77" s="140">
        <f>SUM(M77:P77)</f>
        <v>639270.6997942999</v>
      </c>
      <c r="R77" s="140">
        <v>174831.81200000001</v>
      </c>
      <c r="S77" s="140">
        <v>181501</v>
      </c>
      <c r="T77" s="140">
        <v>182935</v>
      </c>
      <c r="U77" s="140">
        <f>V77-SUM(R77:T77)</f>
        <v>184970.18799999997</v>
      </c>
      <c r="V77" s="140">
        <v>724238</v>
      </c>
      <c r="W77" s="140">
        <v>192176</v>
      </c>
      <c r="X77" s="140">
        <v>202805</v>
      </c>
      <c r="Y77" s="140">
        <v>226643</v>
      </c>
    </row>
    <row r="78" spans="1:25" x14ac:dyDescent="0.35">
      <c r="A78" s="155"/>
      <c r="B78" s="32" t="s">
        <v>64</v>
      </c>
      <c r="C78" s="156"/>
      <c r="D78" s="156"/>
      <c r="E78" s="156"/>
      <c r="F78" s="156"/>
      <c r="G78" s="156"/>
      <c r="H78" s="156">
        <f t="shared" ref="H78:W78" si="65">+H77/H$84</f>
        <v>0.37534003553855422</v>
      </c>
      <c r="I78" s="156">
        <f t="shared" si="65"/>
        <v>0.37181908898537996</v>
      </c>
      <c r="J78" s="156">
        <f t="shared" si="65"/>
        <v>0.35466492769562818</v>
      </c>
      <c r="K78" s="156">
        <f t="shared" si="65"/>
        <v>0.34714765969869915</v>
      </c>
      <c r="L78" s="156">
        <f t="shared" si="65"/>
        <v>0.36209630958414307</v>
      </c>
      <c r="M78" s="156">
        <f t="shared" si="65"/>
        <v>0.34947442745356028</v>
      </c>
      <c r="N78" s="156">
        <f t="shared" si="65"/>
        <v>0.34852708769743407</v>
      </c>
      <c r="O78" s="156">
        <f t="shared" si="65"/>
        <v>0.34641274619888668</v>
      </c>
      <c r="P78" s="156">
        <f t="shared" si="65"/>
        <v>0.34672618429415941</v>
      </c>
      <c r="Q78" s="156">
        <f t="shared" si="65"/>
        <v>0.34773742051705081</v>
      </c>
      <c r="R78" s="156">
        <f t="shared" si="65"/>
        <v>0.34895221024364537</v>
      </c>
      <c r="S78" s="156">
        <f t="shared" si="65"/>
        <v>0.35279905143257007</v>
      </c>
      <c r="T78" s="156">
        <f t="shared" si="65"/>
        <v>0.34543085623648706</v>
      </c>
      <c r="U78" s="156">
        <f t="shared" si="65"/>
        <v>0.34088683448964718</v>
      </c>
      <c r="V78" s="156">
        <f t="shared" si="65"/>
        <v>0.34691061221576691</v>
      </c>
      <c r="W78" s="156">
        <f t="shared" si="65"/>
        <v>0.33694339099957743</v>
      </c>
      <c r="X78" s="156">
        <f>IFERROR(X77/X$84,0)</f>
        <v>0.34098456023659846</v>
      </c>
      <c r="Y78" s="156">
        <f>IFERROR(Y77/Y$84,0)</f>
        <v>0.35750419191146432</v>
      </c>
    </row>
    <row r="79" spans="1:25" x14ac:dyDescent="0.35">
      <c r="A79" s="155"/>
      <c r="B79" s="50" t="s">
        <v>181</v>
      </c>
      <c r="C79" s="156"/>
      <c r="D79" s="156"/>
      <c r="E79" s="156"/>
      <c r="F79" s="156"/>
      <c r="G79" s="156"/>
      <c r="H79" s="156">
        <f t="shared" ref="H79:Y79" si="66">H77/C77-1</f>
        <v>0.2362839050636536</v>
      </c>
      <c r="I79" s="156">
        <f t="shared" si="66"/>
        <v>0.14954656513250431</v>
      </c>
      <c r="J79" s="156">
        <f t="shared" si="66"/>
        <v>6.7748251308849206E-2</v>
      </c>
      <c r="K79" s="156">
        <f t="shared" si="66"/>
        <v>3.9383231106680849E-2</v>
      </c>
      <c r="L79" s="156">
        <f t="shared" si="66"/>
        <v>0.11949433380152552</v>
      </c>
      <c r="M79" s="156">
        <f t="shared" si="66"/>
        <v>1.4434487139553198E-2</v>
      </c>
      <c r="N79" s="156">
        <f t="shared" si="66"/>
        <v>3.7736144326941501E-2</v>
      </c>
      <c r="O79" s="156">
        <f t="shared" si="66"/>
        <v>0.12195008943309738</v>
      </c>
      <c r="P79" s="156">
        <f t="shared" si="66"/>
        <v>0.16129022488681732</v>
      </c>
      <c r="Q79" s="156">
        <f t="shared" si="66"/>
        <v>8.2667821164224664E-2</v>
      </c>
      <c r="R79" s="156">
        <f t="shared" si="66"/>
        <v>0.14607737892335537</v>
      </c>
      <c r="S79" s="156">
        <f t="shared" si="66"/>
        <v>0.16147541821455902</v>
      </c>
      <c r="T79" s="156">
        <f t="shared" si="66"/>
        <v>0.11864901926973381</v>
      </c>
      <c r="U79" s="156">
        <f t="shared" si="66"/>
        <v>0.10811684429347634</v>
      </c>
      <c r="V79" s="156">
        <f t="shared" si="66"/>
        <v>0.13291286497729415</v>
      </c>
      <c r="W79" s="156">
        <f t="shared" si="66"/>
        <v>9.9204989078303329E-2</v>
      </c>
      <c r="X79" s="156">
        <f t="shared" si="66"/>
        <v>0.11737676376438699</v>
      </c>
      <c r="Y79" s="156">
        <f t="shared" si="66"/>
        <v>0.23892639462104026</v>
      </c>
    </row>
    <row r="80" spans="1:25" x14ac:dyDescent="0.35">
      <c r="A80" s="155"/>
      <c r="B80" s="50" t="s">
        <v>77</v>
      </c>
      <c r="C80" s="156"/>
      <c r="D80" s="156"/>
      <c r="E80" s="156"/>
      <c r="F80" s="156"/>
      <c r="G80" s="156"/>
      <c r="H80" s="143">
        <v>0.25820656922673613</v>
      </c>
      <c r="I80" s="143">
        <v>0.1504548124764149</v>
      </c>
      <c r="J80" s="143">
        <v>5.3086436955389393E-2</v>
      </c>
      <c r="K80" s="143">
        <v>2.9283751279884696E-2</v>
      </c>
      <c r="L80" s="143">
        <v>0.11833290299922661</v>
      </c>
      <c r="M80" s="143">
        <v>8.9880219689244534E-3</v>
      </c>
      <c r="N80" s="143">
        <v>3.9454666584489706E-2</v>
      </c>
      <c r="O80" s="143">
        <v>0.11774121544286609</v>
      </c>
      <c r="P80" s="143">
        <v>0.16232967769550344</v>
      </c>
      <c r="Q80" s="143">
        <v>8.0932986586452982E-2</v>
      </c>
      <c r="R80" s="143">
        <v>0.15348834880517637</v>
      </c>
      <c r="S80" s="143">
        <v>0.15743113985905999</v>
      </c>
      <c r="T80" s="143">
        <v>0.12065921717580141</v>
      </c>
      <c r="U80" s="143">
        <v>0.10638020168291074</v>
      </c>
      <c r="V80" s="143">
        <v>0.13375352395319817</v>
      </c>
      <c r="W80" s="143">
        <v>9.3545351726952219E-2</v>
      </c>
      <c r="X80" s="143">
        <v>0.12831960562951727</v>
      </c>
      <c r="Y80" s="143">
        <v>0.24703513453532855</v>
      </c>
    </row>
    <row r="81" spans="1:25" x14ac:dyDescent="0.35">
      <c r="A81" s="155"/>
      <c r="B81" s="32" t="s">
        <v>191</v>
      </c>
      <c r="C81" s="156"/>
      <c r="D81" s="156"/>
      <c r="E81" s="156"/>
      <c r="F81" s="156"/>
      <c r="G81" s="157"/>
      <c r="H81" s="157">
        <f>H77/F77-1</f>
        <v>8.7383672827834991E-2</v>
      </c>
      <c r="I81" s="157">
        <f>I77/H77-1</f>
        <v>1.3814523446755711E-3</v>
      </c>
      <c r="J81" s="157">
        <f>J77/I77-1</f>
        <v>-3.2062390152344911E-2</v>
      </c>
      <c r="K81" s="156">
        <f>K77/J77-1</f>
        <v>-1.3843162989770508E-2</v>
      </c>
      <c r="L81" s="157" t="s">
        <v>41</v>
      </c>
      <c r="M81" s="157">
        <f>M77/K77-1</f>
        <v>6.1282754479815349E-2</v>
      </c>
      <c r="N81" s="157">
        <f>N77/M77-1</f>
        <v>2.4383280074468106E-2</v>
      </c>
      <c r="O81" s="157">
        <f>O77/N77-1</f>
        <v>4.6487292430757776E-2</v>
      </c>
      <c r="P81" s="157">
        <f>P77/O77-1</f>
        <v>2.0735508478759046E-2</v>
      </c>
      <c r="Q81" s="157" t="s">
        <v>41</v>
      </c>
      <c r="R81" s="157">
        <f>R77/P77-1</f>
        <v>4.7380001557604468E-2</v>
      </c>
      <c r="S81" s="157">
        <f>S77/R77-1</f>
        <v>3.8146307149181657E-2</v>
      </c>
      <c r="T81" s="157">
        <f>T77/S77-1</f>
        <v>7.9007829157966558E-3</v>
      </c>
      <c r="U81" s="157">
        <f>U77/T77-1</f>
        <v>1.1125197474512571E-2</v>
      </c>
      <c r="V81" s="188" t="s">
        <v>41</v>
      </c>
      <c r="W81" s="157">
        <f>W77/U77-1</f>
        <v>3.8956612835361559E-2</v>
      </c>
      <c r="X81" s="157">
        <f>X77/W77-1</f>
        <v>5.5308675380900896E-2</v>
      </c>
      <c r="Y81" s="157">
        <f>Y77/X77-1</f>
        <v>0.11754148073272352</v>
      </c>
    </row>
    <row r="82" spans="1:25" x14ac:dyDescent="0.35">
      <c r="A82" s="155"/>
      <c r="B82" s="50" t="s">
        <v>161</v>
      </c>
      <c r="C82" s="39"/>
      <c r="D82" s="39"/>
      <c r="E82" s="39"/>
      <c r="F82" s="39"/>
      <c r="G82" s="39"/>
      <c r="H82" s="143">
        <v>8.0978755329613961E-2</v>
      </c>
      <c r="I82" s="143">
        <v>-3.285339440402657E-3</v>
      </c>
      <c r="J82" s="143">
        <v>-3.2111995947791239E-2</v>
      </c>
      <c r="K82" s="143">
        <v>-1.2054008468692201E-2</v>
      </c>
      <c r="L82" s="171" t="s">
        <v>41</v>
      </c>
      <c r="M82" s="143">
        <v>5.8824271182652321E-2</v>
      </c>
      <c r="N82" s="143">
        <v>2.712903744631423E-2</v>
      </c>
      <c r="O82" s="143">
        <v>4.0263124003474537E-2</v>
      </c>
      <c r="P82" s="143">
        <v>2.8076139643048448E-2</v>
      </c>
      <c r="Q82" s="171" t="s">
        <v>41</v>
      </c>
      <c r="R82" s="143">
        <v>5.0997853159122863E-2</v>
      </c>
      <c r="S82" s="143">
        <v>2.9042947269303898E-2</v>
      </c>
      <c r="T82" s="143">
        <v>1.0739365228728426E-2</v>
      </c>
      <c r="U82" s="143">
        <v>1.2571562826881211E-2</v>
      </c>
      <c r="V82" s="188" t="s">
        <v>41</v>
      </c>
      <c r="W82" s="143">
        <v>4.099062292909883E-2</v>
      </c>
      <c r="X82" s="143">
        <v>5.8562346425857559E-2</v>
      </c>
      <c r="Y82" s="143">
        <v>0.1184924627355024</v>
      </c>
    </row>
    <row r="83" spans="1:25" x14ac:dyDescent="0.35">
      <c r="A83" s="155"/>
      <c r="B83" s="50"/>
      <c r="C83" s="39"/>
      <c r="D83" s="39"/>
      <c r="E83" s="39"/>
      <c r="F83" s="39"/>
      <c r="G83" s="39"/>
      <c r="H83" s="143"/>
      <c r="I83" s="143"/>
      <c r="J83" s="143"/>
      <c r="K83" s="143"/>
      <c r="L83" s="171"/>
      <c r="M83" s="143"/>
      <c r="N83" s="143"/>
      <c r="O83" s="143"/>
      <c r="P83" s="143"/>
      <c r="Q83" s="171"/>
      <c r="R83" s="143"/>
      <c r="S83" s="143"/>
      <c r="T83" s="143"/>
      <c r="U83" s="143"/>
      <c r="V83" s="143"/>
      <c r="W83" s="143"/>
      <c r="X83" s="143"/>
      <c r="Y83" s="143"/>
    </row>
    <row r="84" spans="1:25" x14ac:dyDescent="0.35">
      <c r="A84" s="139"/>
      <c r="B84" s="119" t="s">
        <v>177</v>
      </c>
      <c r="C84" s="154">
        <f t="shared" ref="C84:W84" si="67">C63+C70+C77</f>
        <v>329207.74923669989</v>
      </c>
      <c r="D84" s="154">
        <f t="shared" si="67"/>
        <v>346782.37096970004</v>
      </c>
      <c r="E84" s="154">
        <f t="shared" si="67"/>
        <v>361351.2560893998</v>
      </c>
      <c r="F84" s="154">
        <f t="shared" si="67"/>
        <v>374702.60060969985</v>
      </c>
      <c r="G84" s="154">
        <f t="shared" si="67"/>
        <v>1412043.9769054996</v>
      </c>
      <c r="H84" s="154">
        <f t="shared" si="67"/>
        <v>400643.05805169937</v>
      </c>
      <c r="I84" s="154">
        <f t="shared" si="67"/>
        <v>404995.66399889975</v>
      </c>
      <c r="J84" s="154">
        <f t="shared" si="67"/>
        <v>410971</v>
      </c>
      <c r="K84" s="154">
        <f t="shared" si="67"/>
        <v>414057.98966599989</v>
      </c>
      <c r="L84" s="154">
        <f t="shared" si="67"/>
        <v>1630667.7117165991</v>
      </c>
      <c r="M84" s="154">
        <f t="shared" si="67"/>
        <v>436506.90298440011</v>
      </c>
      <c r="N84" s="154">
        <f t="shared" si="67"/>
        <v>448365.78310510027</v>
      </c>
      <c r="O84" s="154">
        <f t="shared" si="67"/>
        <v>472072.92739630019</v>
      </c>
      <c r="P84" s="154">
        <f t="shared" si="67"/>
        <v>481426</v>
      </c>
      <c r="Q84" s="154">
        <f t="shared" si="67"/>
        <v>1838371.8923426999</v>
      </c>
      <c r="R84" s="154">
        <f t="shared" si="67"/>
        <v>501019.35699999996</v>
      </c>
      <c r="S84" s="154">
        <f t="shared" si="67"/>
        <v>514460</v>
      </c>
      <c r="T84" s="154">
        <f t="shared" si="67"/>
        <v>529585</v>
      </c>
      <c r="U84" s="154">
        <f t="shared" si="67"/>
        <v>542614.64299999992</v>
      </c>
      <c r="V84" s="154">
        <f t="shared" si="67"/>
        <v>2087679</v>
      </c>
      <c r="W84" s="154">
        <f t="shared" si="67"/>
        <v>570351</v>
      </c>
      <c r="X84" s="154">
        <f t="shared" ref="X84:Y84" si="68">X63+X70+X77</f>
        <v>594763</v>
      </c>
      <c r="Y84" s="154">
        <f t="shared" si="68"/>
        <v>633959</v>
      </c>
    </row>
    <row r="85" spans="1:25" x14ac:dyDescent="0.35">
      <c r="B85" s="50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</row>
    <row r="86" spans="1:25" x14ac:dyDescent="0.35">
      <c r="B86" s="50"/>
    </row>
    <row r="87" spans="1:25" ht="15.5" x14ac:dyDescent="0.35">
      <c r="A87" s="139"/>
      <c r="B87" s="119" t="s">
        <v>203</v>
      </c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</row>
    <row r="88" spans="1:25" x14ac:dyDescent="0.35">
      <c r="B88" s="50" t="s">
        <v>173</v>
      </c>
      <c r="C88" s="158"/>
      <c r="D88" s="158"/>
      <c r="E88" s="158"/>
      <c r="F88" s="158"/>
      <c r="G88" s="158"/>
      <c r="H88" s="158">
        <v>0.84089333172664915</v>
      </c>
      <c r="I88" s="158">
        <v>0.83789221688477367</v>
      </c>
      <c r="J88" s="158">
        <v>0.83471257846594116</v>
      </c>
      <c r="K88" s="158">
        <v>0.83361045367255737</v>
      </c>
      <c r="L88" s="158">
        <v>0.83674100707084409</v>
      </c>
      <c r="M88" s="158">
        <v>0.82971264069776862</v>
      </c>
      <c r="N88" s="158">
        <v>0.82331844965943002</v>
      </c>
      <c r="O88" s="158">
        <v>0.8174874031641437</v>
      </c>
      <c r="P88" s="158">
        <v>0.82375068623962033</v>
      </c>
      <c r="Q88" s="158">
        <v>0.82345283529355118</v>
      </c>
      <c r="R88" s="158">
        <v>0.82900898822401525</v>
      </c>
      <c r="S88" s="158">
        <v>0.8218753644598219</v>
      </c>
      <c r="T88" s="158">
        <v>0.82491951244842665</v>
      </c>
      <c r="U88" s="158">
        <v>0.83038039851673262</v>
      </c>
      <c r="V88" s="158">
        <v>0.82656960193592977</v>
      </c>
      <c r="W88" s="158">
        <v>0.82956460144717903</v>
      </c>
      <c r="X88" s="158">
        <v>0.82317326397237223</v>
      </c>
      <c r="Y88" s="158">
        <v>0.82233709119990406</v>
      </c>
    </row>
    <row r="89" spans="1:25" x14ac:dyDescent="0.35">
      <c r="B89" s="50" t="s">
        <v>194</v>
      </c>
      <c r="C89" s="158"/>
      <c r="D89" s="158"/>
      <c r="E89" s="158"/>
      <c r="F89" s="158"/>
      <c r="G89" s="158"/>
      <c r="H89" s="158">
        <v>0.13526269676671193</v>
      </c>
      <c r="I89" s="158">
        <v>0.13699289846532761</v>
      </c>
      <c r="J89" s="158">
        <v>0.14127579715827007</v>
      </c>
      <c r="K89" s="158">
        <v>0.14255199069244104</v>
      </c>
      <c r="L89" s="158">
        <v>0.13905874942953014</v>
      </c>
      <c r="M89" s="158">
        <v>0.14505622665771137</v>
      </c>
      <c r="N89" s="158">
        <v>0.14830294893011514</v>
      </c>
      <c r="O89" s="158">
        <v>0.15136806150765708</v>
      </c>
      <c r="P89" s="158">
        <v>0.14802104391765472</v>
      </c>
      <c r="Q89" s="158">
        <v>0.1482450929506158</v>
      </c>
      <c r="R89" s="158">
        <v>0.14447351419551008</v>
      </c>
      <c r="S89" s="158">
        <v>0.15090580414415114</v>
      </c>
      <c r="T89" s="158">
        <v>0.14913564394761936</v>
      </c>
      <c r="U89" s="158">
        <v>0.14431308681650931</v>
      </c>
      <c r="V89" s="158">
        <v>0.14719935392366354</v>
      </c>
      <c r="W89" s="158">
        <v>0.14467932904474612</v>
      </c>
      <c r="X89" s="158">
        <v>0.15031701703031292</v>
      </c>
      <c r="Y89" s="158">
        <v>0.15024473191483992</v>
      </c>
    </row>
    <row r="90" spans="1:25" x14ac:dyDescent="0.35">
      <c r="B90" s="50" t="s">
        <v>68</v>
      </c>
      <c r="C90" s="158"/>
      <c r="D90" s="158"/>
      <c r="E90" s="158"/>
      <c r="F90" s="158"/>
      <c r="G90" s="158"/>
      <c r="H90" s="158">
        <v>2.3843971506638931E-2</v>
      </c>
      <c r="I90" s="158">
        <v>2.5114884649898778E-2</v>
      </c>
      <c r="J90" s="158">
        <v>2.4011624375788826E-2</v>
      </c>
      <c r="K90" s="158">
        <v>2.3837555635001537E-2</v>
      </c>
      <c r="L90" s="158">
        <v>2.420024349962583E-2</v>
      </c>
      <c r="M90" s="158">
        <v>2.5231132644519889E-2</v>
      </c>
      <c r="N90" s="158">
        <v>2.837860141045485E-2</v>
      </c>
      <c r="O90" s="158">
        <v>3.1144535328199233E-2</v>
      </c>
      <c r="P90" s="158">
        <v>2.8228269842724862E-2</v>
      </c>
      <c r="Q90" s="158">
        <v>2.8302071755832894E-2</v>
      </c>
      <c r="R90" s="158">
        <v>2.6517497580474586E-2</v>
      </c>
      <c r="S90" s="158">
        <v>2.7218831396026901E-2</v>
      </c>
      <c r="T90" s="158">
        <v>2.5944843603954038E-2</v>
      </c>
      <c r="U90" s="158">
        <v>2.5306514666758078E-2</v>
      </c>
      <c r="V90" s="158">
        <v>2.6231044140406643E-2</v>
      </c>
      <c r="W90" s="158">
        <v>2.5000000000000001E-2</v>
      </c>
      <c r="X90" s="158">
        <v>2.6509718997314895E-2</v>
      </c>
      <c r="Y90" s="158">
        <v>2.8000000000000001E-2</v>
      </c>
    </row>
    <row r="91" spans="1:25" x14ac:dyDescent="0.35">
      <c r="B91" s="50"/>
    </row>
    <row r="93" spans="1:25" ht="20" customHeight="1" x14ac:dyDescent="0.35">
      <c r="B93" s="223" t="s">
        <v>204</v>
      </c>
      <c r="C93" s="223"/>
      <c r="D93" s="223"/>
      <c r="E93" s="223"/>
      <c r="F93" s="223"/>
      <c r="G93" s="223"/>
      <c r="H93" s="223"/>
      <c r="I93" s="223"/>
      <c r="J93" s="223"/>
      <c r="K93" s="223"/>
      <c r="L93" s="223"/>
      <c r="M93" s="223"/>
      <c r="N93" s="223"/>
      <c r="O93" s="223"/>
      <c r="P93" s="223"/>
      <c r="Q93" s="223"/>
      <c r="R93" s="223"/>
      <c r="S93" s="223"/>
      <c r="T93" s="223"/>
      <c r="U93" s="223"/>
      <c r="V93" s="223"/>
      <c r="W93" s="223"/>
      <c r="X93" s="223"/>
      <c r="Y93" s="18"/>
    </row>
    <row r="94" spans="1:25" x14ac:dyDescent="0.35">
      <c r="B94" s="224" t="s">
        <v>180</v>
      </c>
      <c r="C94" s="224"/>
      <c r="D94" s="224"/>
      <c r="E94" s="224"/>
      <c r="F94" s="224"/>
      <c r="G94" s="224"/>
      <c r="H94" s="224"/>
      <c r="I94" s="224"/>
      <c r="J94" s="224"/>
      <c r="K94" s="224"/>
      <c r="L94" s="224"/>
      <c r="M94" s="224"/>
      <c r="N94" s="224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13"/>
    </row>
    <row r="95" spans="1:25" x14ac:dyDescent="0.35">
      <c r="B95" s="222" t="s">
        <v>205</v>
      </c>
      <c r="C95" s="222"/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22"/>
      <c r="S95" s="222"/>
      <c r="T95" s="222"/>
      <c r="U95" s="222"/>
      <c r="V95" s="222"/>
      <c r="W95" s="222"/>
      <c r="X95" s="222"/>
      <c r="Y95" s="212"/>
    </row>
    <row r="98" spans="8:18" x14ac:dyDescent="0.35"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</row>
    <row r="99" spans="8:18" x14ac:dyDescent="0.35"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</row>
    <row r="100" spans="8:18" x14ac:dyDescent="0.35">
      <c r="H100" s="160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</row>
  </sheetData>
  <mergeCells count="11">
    <mergeCell ref="W2:Y2"/>
    <mergeCell ref="B95:X95"/>
    <mergeCell ref="B93:X93"/>
    <mergeCell ref="B94:X94"/>
    <mergeCell ref="B60:X60"/>
    <mergeCell ref="R2:V2"/>
    <mergeCell ref="M2:Q2"/>
    <mergeCell ref="A5:B5"/>
    <mergeCell ref="A6:B6"/>
    <mergeCell ref="C2:G2"/>
    <mergeCell ref="H2:L2"/>
  </mergeCells>
  <hyperlinks>
    <hyperlink ref="V1" location="Contents!B8" display="Back" xr:uid="{E8BE9FB3-3298-49FC-B66D-42F4CC1DF758}"/>
  </hyperlinks>
  <pageMargins left="0.7" right="0.7" top="0.35" bottom="1.25" header="0.55000000000000004" footer="0.3"/>
  <pageSetup paperSize="9" scale="31" fitToWidth="0" orientation="landscape" r:id="rId1"/>
  <ignoredErrors>
    <ignoredError sqref="Q58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07CC5-F0B4-4D0C-97B5-323607376023}">
  <sheetPr>
    <tabColor rgb="FF92D050"/>
    <pageSetUpPr fitToPage="1"/>
  </sheetPr>
  <dimension ref="A1:Y70"/>
  <sheetViews>
    <sheetView showGridLines="0" view="pageBreakPreview" zoomScale="80" zoomScaleNormal="70" zoomScaleSheetLayoutView="80" workbookViewId="0">
      <pane xSplit="1" ySplit="7" topLeftCell="B47" activePane="bottomRight" state="frozen"/>
      <selection activeCell="B1" sqref="B1"/>
      <selection pane="topRight" activeCell="B1" sqref="B1"/>
      <selection pane="bottomLeft" activeCell="B1" sqref="B1"/>
      <selection pane="bottomRight" activeCell="K53" sqref="K53"/>
    </sheetView>
  </sheetViews>
  <sheetFormatPr defaultColWidth="9.1796875" defaultRowHeight="12.5" outlineLevelCol="1" x14ac:dyDescent="0.25"/>
  <cols>
    <col min="1" max="1" width="79.54296875" style="19" customWidth="1"/>
    <col min="2" max="5" width="12.1796875" style="19" hidden="1" customWidth="1" outlineLevel="1"/>
    <col min="6" max="6" width="12.1796875" style="19" customWidth="1" collapsed="1"/>
    <col min="7" max="10" width="12.1796875" style="19" hidden="1" customWidth="1" outlineLevel="1"/>
    <col min="11" max="11" width="12.1796875" style="19" customWidth="1" collapsed="1"/>
    <col min="12" max="15" width="12.1796875" style="19" hidden="1" customWidth="1" outlineLevel="1"/>
    <col min="16" max="16" width="12.1796875" style="19" customWidth="1" collapsed="1"/>
    <col min="17" max="20" width="12.1796875" style="19" hidden="1" customWidth="1" outlineLevel="1"/>
    <col min="21" max="21" width="12.1796875" style="19" customWidth="1" collapsed="1"/>
    <col min="22" max="22" width="12.90625" style="19" bestFit="1" customWidth="1"/>
    <col min="23" max="24" width="12.90625" style="19" customWidth="1"/>
    <col min="25" max="16384" width="9.1796875" style="19"/>
  </cols>
  <sheetData>
    <row r="1" spans="1:24" ht="13" x14ac:dyDescent="0.3">
      <c r="E1" s="95"/>
      <c r="T1" s="90"/>
      <c r="U1" s="205" t="s">
        <v>162</v>
      </c>
      <c r="V1" s="206"/>
      <c r="W1" s="206"/>
      <c r="X1" s="206"/>
    </row>
    <row r="2" spans="1:24" ht="30.75" customHeight="1" x14ac:dyDescent="0.25">
      <c r="A2" s="6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</row>
    <row r="3" spans="1:24" ht="15" customHeight="1" x14ac:dyDescent="0.25"/>
    <row r="4" spans="1:24" s="4" customFormat="1" ht="13" x14ac:dyDescent="0.3">
      <c r="A4" s="20" t="s">
        <v>45</v>
      </c>
      <c r="B4" s="4">
        <v>2022</v>
      </c>
      <c r="C4" s="4">
        <v>2022</v>
      </c>
      <c r="D4" s="4">
        <v>2022</v>
      </c>
      <c r="E4" s="4">
        <v>2022</v>
      </c>
      <c r="F4" s="4">
        <v>2022</v>
      </c>
      <c r="G4" s="4">
        <v>2023</v>
      </c>
      <c r="H4" s="4">
        <v>2023</v>
      </c>
      <c r="I4" s="4">
        <v>2023</v>
      </c>
      <c r="J4" s="4">
        <v>2023</v>
      </c>
      <c r="K4" s="4">
        <v>2023</v>
      </c>
      <c r="L4" s="4">
        <v>2024</v>
      </c>
      <c r="M4" s="4">
        <v>2024</v>
      </c>
      <c r="N4" s="4">
        <v>2024</v>
      </c>
      <c r="O4" s="4">
        <v>2024</v>
      </c>
      <c r="P4" s="4">
        <v>2024</v>
      </c>
      <c r="Q4" s="4">
        <v>2025</v>
      </c>
      <c r="R4" s="4">
        <v>2025</v>
      </c>
      <c r="S4" s="4">
        <v>2025</v>
      </c>
      <c r="T4" s="4">
        <v>2025</v>
      </c>
      <c r="U4" s="4">
        <v>2025</v>
      </c>
      <c r="V4" s="4">
        <v>2026</v>
      </c>
      <c r="W4" s="4">
        <v>2026</v>
      </c>
      <c r="X4" s="4">
        <v>2026</v>
      </c>
    </row>
    <row r="5" spans="1:24" s="4" customFormat="1" ht="15" customHeight="1" x14ac:dyDescent="0.3">
      <c r="A5" s="20" t="s">
        <v>141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4</v>
      </c>
      <c r="M5" s="4" t="s">
        <v>5</v>
      </c>
      <c r="N5" s="4" t="s">
        <v>6</v>
      </c>
      <c r="O5" s="4" t="s">
        <v>7</v>
      </c>
      <c r="P5" s="4" t="s">
        <v>8</v>
      </c>
      <c r="Q5" s="4" t="s">
        <v>4</v>
      </c>
      <c r="R5" s="4" t="s">
        <v>5</v>
      </c>
      <c r="S5" s="4" t="s">
        <v>6</v>
      </c>
      <c r="T5" s="4" t="s">
        <v>7</v>
      </c>
      <c r="U5" s="4" t="s">
        <v>8</v>
      </c>
      <c r="V5" s="3" t="s">
        <v>4</v>
      </c>
      <c r="W5" s="3" t="s">
        <v>5</v>
      </c>
      <c r="X5" s="3" t="s">
        <v>6</v>
      </c>
    </row>
    <row r="6" spans="1:24" ht="6" customHeight="1" x14ac:dyDescent="0.25"/>
    <row r="7" spans="1:24" ht="6" customHeight="1" x14ac:dyDescent="0.25"/>
    <row r="8" spans="1:24" ht="6.75" customHeight="1" x14ac:dyDescent="0.3">
      <c r="A8" s="37"/>
    </row>
    <row r="9" spans="1:24" s="9" customFormat="1" ht="13" x14ac:dyDescent="0.3">
      <c r="A9" s="116" t="s">
        <v>133</v>
      </c>
      <c r="B9" s="117">
        <f>'Income Statement'!B29</f>
        <v>43975</v>
      </c>
      <c r="C9" s="117">
        <f>'Income Statement'!C29</f>
        <v>47081</v>
      </c>
      <c r="D9" s="117">
        <f>'Income Statement'!D29</f>
        <v>50111</v>
      </c>
      <c r="E9" s="117">
        <f>'Income Statement'!E29</f>
        <v>50995</v>
      </c>
      <c r="F9" s="117">
        <f>'Income Statement'!F29</f>
        <v>192162</v>
      </c>
      <c r="G9" s="117">
        <f>'Income Statement'!G29</f>
        <v>59448</v>
      </c>
      <c r="H9" s="117">
        <f>'Income Statement'!H29</f>
        <v>64811</v>
      </c>
      <c r="I9" s="117">
        <f>'Income Statement'!I29</f>
        <v>60230</v>
      </c>
      <c r="J9" s="117">
        <f>'Income Statement'!J29</f>
        <v>54266</v>
      </c>
      <c r="K9" s="117">
        <f>'Income Statement'!K29</f>
        <v>238755</v>
      </c>
      <c r="L9" s="117">
        <f>'Income Statement'!L29</f>
        <v>61524</v>
      </c>
      <c r="M9" s="117">
        <f>'Income Statement'!M29</f>
        <v>61449</v>
      </c>
      <c r="N9" s="117">
        <f>'Income Statement'!N29</f>
        <v>69405</v>
      </c>
      <c r="O9" s="117">
        <f>'Income Statement'!O29</f>
        <v>71242</v>
      </c>
      <c r="P9" s="117">
        <f>'Income Statement'!P29</f>
        <v>263620</v>
      </c>
      <c r="Q9" s="117">
        <f>'Income Statement'!Q29</f>
        <v>78415</v>
      </c>
      <c r="R9" s="117">
        <f>'Income Statement'!R29</f>
        <v>81138</v>
      </c>
      <c r="S9" s="117">
        <f>'Income Statement'!S29</f>
        <v>76174</v>
      </c>
      <c r="T9" s="117">
        <f>'Income Statement'!T29</f>
        <v>78023</v>
      </c>
      <c r="U9" s="117">
        <f>'Income Statement'!U29</f>
        <v>313750</v>
      </c>
      <c r="V9" s="117">
        <f>'Income Statement'!V29</f>
        <v>91826</v>
      </c>
      <c r="W9" s="117">
        <f>'Income Statement'!W29</f>
        <v>87295</v>
      </c>
      <c r="X9" s="117">
        <f>'Income Statement'!X29</f>
        <v>88856</v>
      </c>
    </row>
    <row r="10" spans="1:24" x14ac:dyDescent="0.25">
      <c r="A10" s="38" t="s">
        <v>90</v>
      </c>
      <c r="B10" s="86">
        <v>4486</v>
      </c>
      <c r="C10" s="86">
        <v>4146</v>
      </c>
      <c r="D10" s="86">
        <v>4243</v>
      </c>
      <c r="E10" s="86">
        <f t="shared" ref="E10:E13" si="0">+F10-SUM(B10:D10)</f>
        <v>4234</v>
      </c>
      <c r="F10" s="86">
        <v>17109</v>
      </c>
      <c r="G10" s="86">
        <v>4149</v>
      </c>
      <c r="H10" s="86">
        <v>4204</v>
      </c>
      <c r="I10" s="86">
        <v>3157</v>
      </c>
      <c r="J10" s="86">
        <f t="shared" ref="J10:J14" si="1">+K10-SUM(G10:I10)</f>
        <v>3168</v>
      </c>
      <c r="K10" s="86">
        <v>14678</v>
      </c>
      <c r="L10" s="23">
        <v>3080</v>
      </c>
      <c r="M10" s="23">
        <v>3077</v>
      </c>
      <c r="N10" s="75">
        <v>3449</v>
      </c>
      <c r="O10" s="86">
        <f t="shared" ref="O10:O15" si="2">+P10-SUM(L10:N10)</f>
        <v>4024</v>
      </c>
      <c r="P10" s="75">
        <v>13630</v>
      </c>
      <c r="Q10" s="75">
        <v>3246</v>
      </c>
      <c r="R10" s="75">
        <v>3277</v>
      </c>
      <c r="S10" s="75">
        <v>3310</v>
      </c>
      <c r="T10" s="75">
        <f>U10-SUM(Q10:S10)</f>
        <v>3307</v>
      </c>
      <c r="U10" s="75">
        <v>13140</v>
      </c>
      <c r="V10" s="75">
        <v>3226</v>
      </c>
      <c r="W10" s="75">
        <v>3258</v>
      </c>
      <c r="X10" s="75">
        <v>6297</v>
      </c>
    </row>
    <row r="11" spans="1:24" x14ac:dyDescent="0.25">
      <c r="A11" s="38" t="s">
        <v>91</v>
      </c>
      <c r="B11" s="86">
        <v>11224</v>
      </c>
      <c r="C11" s="86">
        <v>13340</v>
      </c>
      <c r="D11" s="86">
        <v>12186</v>
      </c>
      <c r="E11" s="86">
        <f t="shared" si="0"/>
        <v>12616</v>
      </c>
      <c r="F11" s="86">
        <v>49366</v>
      </c>
      <c r="G11" s="86">
        <v>14407</v>
      </c>
      <c r="H11" s="86">
        <v>11511</v>
      </c>
      <c r="I11" s="86">
        <v>17067</v>
      </c>
      <c r="J11" s="86">
        <f t="shared" si="1"/>
        <v>15452</v>
      </c>
      <c r="K11" s="86">
        <v>58437</v>
      </c>
      <c r="L11" s="23">
        <v>17852</v>
      </c>
      <c r="M11" s="23">
        <v>18095</v>
      </c>
      <c r="N11" s="75">
        <v>21232</v>
      </c>
      <c r="O11" s="86">
        <f t="shared" si="2"/>
        <v>15479</v>
      </c>
      <c r="P11" s="75">
        <v>72658</v>
      </c>
      <c r="Q11" s="75">
        <v>19187</v>
      </c>
      <c r="R11" s="75">
        <v>16392</v>
      </c>
      <c r="S11" s="75">
        <v>23139</v>
      </c>
      <c r="T11" s="75">
        <f t="shared" ref="T11:T15" si="3">U11-SUM(Q11:S11)</f>
        <v>20751</v>
      </c>
      <c r="U11" s="75">
        <v>79469</v>
      </c>
      <c r="V11" s="75">
        <v>22101</v>
      </c>
      <c r="W11" s="75">
        <v>24631</v>
      </c>
      <c r="X11" s="75">
        <v>25542</v>
      </c>
    </row>
    <row r="12" spans="1:24" x14ac:dyDescent="0.25">
      <c r="A12" s="38" t="s">
        <v>112</v>
      </c>
      <c r="B12" s="75">
        <v>0</v>
      </c>
      <c r="C12" s="75">
        <v>217</v>
      </c>
      <c r="D12" s="75">
        <v>169</v>
      </c>
      <c r="E12" s="75">
        <f t="shared" si="0"/>
        <v>0</v>
      </c>
      <c r="F12" s="75">
        <v>386</v>
      </c>
      <c r="G12" s="75">
        <v>0</v>
      </c>
      <c r="H12" s="75">
        <v>0</v>
      </c>
      <c r="I12" s="75">
        <v>0</v>
      </c>
      <c r="J12" s="75">
        <f t="shared" si="1"/>
        <v>895</v>
      </c>
      <c r="K12" s="75">
        <v>895</v>
      </c>
      <c r="L12" s="93">
        <v>0</v>
      </c>
      <c r="M12" s="75">
        <v>1412</v>
      </c>
      <c r="N12" s="75">
        <v>0</v>
      </c>
      <c r="O12" s="94">
        <f t="shared" si="2"/>
        <v>0</v>
      </c>
      <c r="P12" s="75">
        <v>1412</v>
      </c>
      <c r="Q12" s="75">
        <v>0</v>
      </c>
      <c r="R12" s="75">
        <v>0</v>
      </c>
      <c r="S12" s="75">
        <v>0</v>
      </c>
      <c r="T12" s="75">
        <f t="shared" si="3"/>
        <v>0</v>
      </c>
      <c r="U12" s="75">
        <v>0</v>
      </c>
      <c r="V12" s="75">
        <v>0</v>
      </c>
      <c r="W12" s="75">
        <v>0</v>
      </c>
      <c r="X12" s="75">
        <v>0</v>
      </c>
    </row>
    <row r="13" spans="1:24" x14ac:dyDescent="0.25">
      <c r="A13" s="38" t="s">
        <v>94</v>
      </c>
      <c r="B13" s="75">
        <v>134</v>
      </c>
      <c r="C13" s="75">
        <v>0</v>
      </c>
      <c r="D13" s="75">
        <v>0</v>
      </c>
      <c r="E13" s="99">
        <f t="shared" si="0"/>
        <v>0</v>
      </c>
      <c r="F13" s="75">
        <v>134</v>
      </c>
      <c r="G13" s="75">
        <v>0</v>
      </c>
      <c r="H13" s="75">
        <v>0</v>
      </c>
      <c r="I13" s="75">
        <v>0</v>
      </c>
      <c r="J13" s="99">
        <f t="shared" si="1"/>
        <v>0</v>
      </c>
      <c r="K13" s="75">
        <v>0</v>
      </c>
      <c r="L13" s="75">
        <v>0</v>
      </c>
      <c r="M13" s="75">
        <v>0</v>
      </c>
      <c r="N13" s="75">
        <v>0</v>
      </c>
      <c r="O13" s="94">
        <f t="shared" si="2"/>
        <v>0</v>
      </c>
      <c r="P13" s="75">
        <v>0</v>
      </c>
      <c r="Q13" s="75">
        <v>0</v>
      </c>
      <c r="R13" s="75">
        <v>0</v>
      </c>
      <c r="S13" s="75">
        <v>0</v>
      </c>
      <c r="T13" s="75">
        <f t="shared" si="3"/>
        <v>0</v>
      </c>
      <c r="U13" s="75">
        <v>0</v>
      </c>
      <c r="V13" s="75">
        <v>0</v>
      </c>
      <c r="W13" s="75">
        <v>1894</v>
      </c>
      <c r="X13" s="75">
        <v>1785</v>
      </c>
    </row>
    <row r="14" spans="1:24" x14ac:dyDescent="0.25">
      <c r="A14" s="38" t="s">
        <v>110</v>
      </c>
      <c r="B14" s="75">
        <v>0</v>
      </c>
      <c r="C14" s="75">
        <v>0</v>
      </c>
      <c r="D14" s="75">
        <v>0</v>
      </c>
      <c r="E14" s="75">
        <f>E38+E37</f>
        <v>-560</v>
      </c>
      <c r="F14" s="75">
        <f>F38+F37</f>
        <v>-560</v>
      </c>
      <c r="G14" s="75">
        <f>G38+G37</f>
        <v>-89</v>
      </c>
      <c r="H14" s="75">
        <f>H38+H37</f>
        <v>578</v>
      </c>
      <c r="I14" s="75">
        <f>I38+I37</f>
        <v>1700</v>
      </c>
      <c r="J14" s="39">
        <f t="shared" si="1"/>
        <v>-264</v>
      </c>
      <c r="K14" s="75">
        <f>K38+K37</f>
        <v>1925</v>
      </c>
      <c r="L14" s="75">
        <f>L38+L37</f>
        <v>0</v>
      </c>
      <c r="M14" s="75">
        <f>M38+M37</f>
        <v>0</v>
      </c>
      <c r="N14" s="75">
        <f>N38+N37</f>
        <v>0</v>
      </c>
      <c r="O14" s="94">
        <f t="shared" si="2"/>
        <v>0</v>
      </c>
      <c r="P14" s="75">
        <f>P38+P37</f>
        <v>0</v>
      </c>
      <c r="Q14" s="75">
        <v>0</v>
      </c>
      <c r="R14" s="75">
        <v>0</v>
      </c>
      <c r="S14" s="75">
        <v>0</v>
      </c>
      <c r="T14" s="75">
        <f t="shared" si="3"/>
        <v>0</v>
      </c>
      <c r="U14" s="75">
        <v>0</v>
      </c>
      <c r="V14" s="75">
        <v>0</v>
      </c>
      <c r="W14" s="75">
        <v>0</v>
      </c>
      <c r="X14" s="75">
        <v>0</v>
      </c>
    </row>
    <row r="15" spans="1:24" x14ac:dyDescent="0.25">
      <c r="A15" s="100" t="s">
        <v>149</v>
      </c>
      <c r="B15" s="80">
        <v>0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4762</v>
      </c>
      <c r="N15" s="80">
        <v>0</v>
      </c>
      <c r="O15" s="94">
        <f t="shared" si="2"/>
        <v>0</v>
      </c>
      <c r="P15" s="80">
        <v>4762</v>
      </c>
      <c r="Q15" s="80">
        <v>0</v>
      </c>
      <c r="R15" s="80">
        <v>0</v>
      </c>
      <c r="S15" s="80">
        <v>0</v>
      </c>
      <c r="T15" s="75">
        <f t="shared" si="3"/>
        <v>0</v>
      </c>
      <c r="U15" s="80">
        <v>0</v>
      </c>
      <c r="V15" s="80">
        <v>0</v>
      </c>
      <c r="W15" s="80">
        <v>0</v>
      </c>
      <c r="X15" s="80">
        <v>0</v>
      </c>
    </row>
    <row r="16" spans="1:24" s="9" customFormat="1" ht="13" x14ac:dyDescent="0.3">
      <c r="A16" s="116" t="s">
        <v>134</v>
      </c>
      <c r="B16" s="117">
        <f t="shared" ref="B16:W16" si="4">SUM(B9:B15)</f>
        <v>59819</v>
      </c>
      <c r="C16" s="117">
        <f t="shared" si="4"/>
        <v>64784</v>
      </c>
      <c r="D16" s="117">
        <f t="shared" si="4"/>
        <v>66709</v>
      </c>
      <c r="E16" s="117">
        <f t="shared" si="4"/>
        <v>67285</v>
      </c>
      <c r="F16" s="117">
        <f t="shared" si="4"/>
        <v>258597</v>
      </c>
      <c r="G16" s="117">
        <f t="shared" si="4"/>
        <v>77915</v>
      </c>
      <c r="H16" s="117">
        <f t="shared" si="4"/>
        <v>81104</v>
      </c>
      <c r="I16" s="117">
        <f t="shared" si="4"/>
        <v>82154</v>
      </c>
      <c r="J16" s="117">
        <f t="shared" si="4"/>
        <v>73517</v>
      </c>
      <c r="K16" s="117">
        <f t="shared" si="4"/>
        <v>314690</v>
      </c>
      <c r="L16" s="117">
        <f t="shared" si="4"/>
        <v>82456</v>
      </c>
      <c r="M16" s="117">
        <f t="shared" si="4"/>
        <v>88795</v>
      </c>
      <c r="N16" s="117">
        <f t="shared" si="4"/>
        <v>94086</v>
      </c>
      <c r="O16" s="117">
        <f t="shared" si="4"/>
        <v>90745</v>
      </c>
      <c r="P16" s="117">
        <f t="shared" si="4"/>
        <v>356082</v>
      </c>
      <c r="Q16" s="117">
        <f t="shared" si="4"/>
        <v>100848</v>
      </c>
      <c r="R16" s="117">
        <f t="shared" si="4"/>
        <v>100807</v>
      </c>
      <c r="S16" s="117">
        <f t="shared" si="4"/>
        <v>102623</v>
      </c>
      <c r="T16" s="117">
        <f t="shared" si="4"/>
        <v>102081</v>
      </c>
      <c r="U16" s="117">
        <f t="shared" si="4"/>
        <v>406359</v>
      </c>
      <c r="V16" s="117">
        <f t="shared" si="4"/>
        <v>117153</v>
      </c>
      <c r="W16" s="117">
        <f t="shared" si="4"/>
        <v>117078</v>
      </c>
      <c r="X16" s="117">
        <f t="shared" ref="X16" si="5">SUM(X9:X15)</f>
        <v>122480</v>
      </c>
    </row>
    <row r="17" spans="1:25" ht="13" x14ac:dyDescent="0.3">
      <c r="A17" s="57" t="s">
        <v>135</v>
      </c>
      <c r="B17" s="56">
        <f>IF(B16/'Income Statement'!B8&lt;0, "NM",B16/'Income Statement'!B8)</f>
        <v>0.18170579086777963</v>
      </c>
      <c r="C17" s="56">
        <f>IF(C16/'Income Statement'!C8&lt;0, "NM",C16/'Income Statement'!C8)</f>
        <v>0.18681477123956838</v>
      </c>
      <c r="D17" s="56">
        <f>IF(D16/'Income Statement'!D8&lt;0, "NM",D16/'Income Statement'!D8)</f>
        <v>0.1846099775564479</v>
      </c>
      <c r="E17" s="56">
        <f>IF(E16/'Income Statement'!E8&lt;0, "NM",E16/'Income Statement'!E8)</f>
        <v>0.17956888522376388</v>
      </c>
      <c r="F17" s="56">
        <f>IF(F16/'Income Statement'!F8&lt;0, "NM",F16/'Income Statement'!F8)</f>
        <v>0.18313664446716957</v>
      </c>
      <c r="G17" s="56">
        <f>IF(G16/'Income Statement'!G8&lt;0, "NM",G16/'Income Statement'!G8)</f>
        <v>0.19447488162778334</v>
      </c>
      <c r="H17" s="56">
        <f>IF(H16/'Income Statement'!H8&lt;0, "NM",H16/'Income Statement'!H8)</f>
        <v>0.20025876798783199</v>
      </c>
      <c r="I17" s="56">
        <f>IF(I16/'Income Statement'!I8&lt;0, "NM",I16/'Income Statement'!I8)</f>
        <v>0.19990218287908393</v>
      </c>
      <c r="J17" s="56">
        <f>IF(J16/'Income Statement'!J8&lt;0, "NM",J16/'Income Statement'!J8)</f>
        <v>0.17755242019234022</v>
      </c>
      <c r="K17" s="56">
        <f>IF(K16/'Income Statement'!K8&lt;0, "NM",K16/'Income Statement'!K8)</f>
        <v>0.19298226248384098</v>
      </c>
      <c r="L17" s="56">
        <f>IF(L16/'Income Statement'!L8&lt;0, "NM",L16/'Income Statement'!L8)</f>
        <v>0.18889960527551677</v>
      </c>
      <c r="M17" s="56">
        <f>IF(M16/'Income Statement'!M8&lt;0, "NM",M16/'Income Statement'!M8)</f>
        <v>0.19804133230441201</v>
      </c>
      <c r="N17" s="56">
        <f>IF(N16/'Income Statement'!N8&lt;0, "NM",N16/'Income Statement'!N8)</f>
        <v>0.19930392121557472</v>
      </c>
      <c r="O17" s="56">
        <f>IF(O16/'Income Statement'!O8&lt;0, "NM",O16/'Income Statement'!O8)</f>
        <v>0.18849210470560376</v>
      </c>
      <c r="P17" s="56">
        <f>IF(P16/'Income Statement'!P8&lt;0, "NM",P16/'Income Statement'!P8)</f>
        <v>0.19369420334948531</v>
      </c>
      <c r="Q17" s="56">
        <f>IF(Q16/'Income Statement'!Q8&lt;0, "NM",Q16/'Income Statement'!Q8)</f>
        <v>0.20128577958121349</v>
      </c>
      <c r="R17" s="56">
        <f>IF(R16/'Income Statement'!R8&lt;0, "NM",R16/'Income Statement'!R8)</f>
        <v>0.19594720677992458</v>
      </c>
      <c r="S17" s="56">
        <f>IF(S16/'Income Statement'!S8&lt;0, "NM",S16/'Income Statement'!S8)</f>
        <v>0.19378003531066779</v>
      </c>
      <c r="T17" s="56">
        <f>IF(T16/'Income Statement'!T8&lt;0, "NM",T16/'Income Statement'!T8)</f>
        <v>0.18812786229647172</v>
      </c>
      <c r="U17" s="56">
        <f>IF(U16/'Income Statement'!U8&lt;0, "NM",U16/'Income Statement'!U8)</f>
        <v>0.19464630338284766</v>
      </c>
      <c r="V17" s="82">
        <f>IFERROR(IF(V16/'Income Statement'!V8&lt;0, "NM",V16/'Income Statement'!V8),0)</f>
        <v>0.20540509265347129</v>
      </c>
      <c r="W17" s="82">
        <f>IFERROR(IF(W16/'Income Statement'!W8&lt;0, "NM",W16/'Income Statement'!W8),0)</f>
        <v>0.19684815632445193</v>
      </c>
      <c r="X17" s="82">
        <f>IFERROR(IF(X16/'Income Statement'!X8&lt;0, "NM",X16/'Income Statement'!X8),0)</f>
        <v>0.19319861379048173</v>
      </c>
      <c r="Y17" s="156"/>
    </row>
    <row r="18" spans="1:25" s="9" customFormat="1" ht="13" x14ac:dyDescent="0.3">
      <c r="A18" s="36" t="s">
        <v>168</v>
      </c>
      <c r="B18" s="172">
        <v>120</v>
      </c>
      <c r="C18" s="172">
        <v>50</v>
      </c>
      <c r="D18" s="172">
        <v>-20</v>
      </c>
      <c r="E18" s="172">
        <v>-50</v>
      </c>
      <c r="F18" s="89" t="s">
        <v>41</v>
      </c>
      <c r="G18" s="172">
        <f>ROUNDDOWN((G17-E17)*10000,-1)</f>
        <v>140</v>
      </c>
      <c r="H18" s="172">
        <f>ROUND((H17-G17)*10000,-1)</f>
        <v>60</v>
      </c>
      <c r="I18" s="172">
        <f>ROUND((I17-H17)*10000,-1)</f>
        <v>0</v>
      </c>
      <c r="J18" s="172">
        <f>ROUND((J17-I17)*10000,-1)</f>
        <v>-220</v>
      </c>
      <c r="K18" s="89" t="s">
        <v>41</v>
      </c>
      <c r="L18" s="172">
        <f>ROUND((L17-J17)*10000,-1)</f>
        <v>110</v>
      </c>
      <c r="M18" s="172">
        <f>ROUND((M17-L17)*10000,-1)</f>
        <v>90</v>
      </c>
      <c r="N18" s="172">
        <f>ROUND((N17-M17)*10000,-1)</f>
        <v>10</v>
      </c>
      <c r="O18" s="172">
        <f>ROUND((O17-N17)*10000,-1)</f>
        <v>-110</v>
      </c>
      <c r="P18" s="89" t="s">
        <v>41</v>
      </c>
      <c r="Q18" s="172">
        <f>ROUNDUP((Q17-O17)*10000,-1)</f>
        <v>130</v>
      </c>
      <c r="R18" s="172">
        <f>ROUNDUP((R17-Q17)*10000,-1)</f>
        <v>-60</v>
      </c>
      <c r="S18" s="172">
        <f>ROUNDUP((S17-R17)*10000,-1)</f>
        <v>-30</v>
      </c>
      <c r="T18" s="172">
        <f>ROUNDUP((T17-S17)*10000,-1)</f>
        <v>-60</v>
      </c>
      <c r="U18" s="89" t="s">
        <v>41</v>
      </c>
      <c r="V18" s="172">
        <f>ROUND((V17-T17)*10000,-1)</f>
        <v>170</v>
      </c>
      <c r="W18" s="172">
        <f>ROUNDDOWN((W17-V17)*10000,-1)</f>
        <v>-80</v>
      </c>
      <c r="X18" s="172">
        <f>ROUND((X17-W17)*10000,-1)</f>
        <v>-40</v>
      </c>
    </row>
    <row r="19" spans="1:25" ht="13.5" thickBot="1" x14ac:dyDescent="0.35">
      <c r="A19" s="58" t="s">
        <v>169</v>
      </c>
      <c r="B19" s="173">
        <v>-200</v>
      </c>
      <c r="C19" s="173">
        <v>80</v>
      </c>
      <c r="D19" s="173">
        <v>-90</v>
      </c>
      <c r="E19" s="173">
        <v>100</v>
      </c>
      <c r="F19" s="173">
        <v>-30</v>
      </c>
      <c r="G19" s="173">
        <f>ROUNDDOWN((G17-B17)*10000,-1)</f>
        <v>120</v>
      </c>
      <c r="H19" s="173">
        <f t="shared" ref="H19:R19" si="6">ROUND((H17-C17)*10000,-1)</f>
        <v>130</v>
      </c>
      <c r="I19" s="173">
        <f t="shared" si="6"/>
        <v>150</v>
      </c>
      <c r="J19" s="173">
        <f t="shared" si="6"/>
        <v>-20</v>
      </c>
      <c r="K19" s="173">
        <f t="shared" si="6"/>
        <v>100</v>
      </c>
      <c r="L19" s="173">
        <f>ROUNDDOWN((L17-G17)*10000,-1)</f>
        <v>-50</v>
      </c>
      <c r="M19" s="173">
        <f t="shared" si="6"/>
        <v>-20</v>
      </c>
      <c r="N19" s="173">
        <f t="shared" si="6"/>
        <v>-10</v>
      </c>
      <c r="O19" s="173">
        <f>ROUNDDOWN((O17-J17)*10000,-1)</f>
        <v>100</v>
      </c>
      <c r="P19" s="173">
        <f t="shared" si="6"/>
        <v>10</v>
      </c>
      <c r="Q19" s="173">
        <f t="shared" si="6"/>
        <v>120</v>
      </c>
      <c r="R19" s="173">
        <f t="shared" si="6"/>
        <v>-20</v>
      </c>
      <c r="S19" s="173">
        <f>ROUNDDOWN((S17-N17)*10000,-1)</f>
        <v>-50</v>
      </c>
      <c r="T19" s="173">
        <f>ROUNDDOWN((T17-O17)*10000,-1)</f>
        <v>0</v>
      </c>
      <c r="U19" s="173">
        <f t="shared" ref="U19" si="7">ROUND((U17-P17)*10000,-1)</f>
        <v>10</v>
      </c>
      <c r="V19" s="173">
        <f>ROUND((V17-Q17)*10000,-1)</f>
        <v>40</v>
      </c>
      <c r="W19" s="173">
        <f>ROUND((W17-R17)*10000,-1)</f>
        <v>10</v>
      </c>
      <c r="X19" s="173">
        <f>ROUND((X17-S17)*10000,-1)</f>
        <v>-10</v>
      </c>
    </row>
    <row r="20" spans="1:25" ht="6" customHeight="1" x14ac:dyDescent="0.3">
      <c r="A20" s="59"/>
    </row>
    <row r="21" spans="1:25" ht="13" x14ac:dyDescent="0.3">
      <c r="A21" s="116" t="s">
        <v>134</v>
      </c>
      <c r="B21" s="117">
        <f t="shared" ref="B21:V21" si="8">B16</f>
        <v>59819</v>
      </c>
      <c r="C21" s="117">
        <f t="shared" si="8"/>
        <v>64784</v>
      </c>
      <c r="D21" s="117">
        <f t="shared" si="8"/>
        <v>66709</v>
      </c>
      <c r="E21" s="117">
        <f t="shared" si="8"/>
        <v>67285</v>
      </c>
      <c r="F21" s="117">
        <f t="shared" si="8"/>
        <v>258597</v>
      </c>
      <c r="G21" s="117">
        <f t="shared" si="8"/>
        <v>77915</v>
      </c>
      <c r="H21" s="117">
        <f t="shared" si="8"/>
        <v>81104</v>
      </c>
      <c r="I21" s="117">
        <f t="shared" si="8"/>
        <v>82154</v>
      </c>
      <c r="J21" s="117">
        <f t="shared" si="8"/>
        <v>73517</v>
      </c>
      <c r="K21" s="117">
        <f t="shared" si="8"/>
        <v>314690</v>
      </c>
      <c r="L21" s="117">
        <f t="shared" si="8"/>
        <v>82456</v>
      </c>
      <c r="M21" s="117">
        <f t="shared" si="8"/>
        <v>88795</v>
      </c>
      <c r="N21" s="117">
        <f t="shared" si="8"/>
        <v>94086</v>
      </c>
      <c r="O21" s="117">
        <f t="shared" si="8"/>
        <v>90745</v>
      </c>
      <c r="P21" s="117">
        <f t="shared" si="8"/>
        <v>356082</v>
      </c>
      <c r="Q21" s="117">
        <f t="shared" si="8"/>
        <v>100848</v>
      </c>
      <c r="R21" s="117">
        <f t="shared" si="8"/>
        <v>100807</v>
      </c>
      <c r="S21" s="117">
        <f t="shared" si="8"/>
        <v>102623</v>
      </c>
      <c r="T21" s="117">
        <f t="shared" si="8"/>
        <v>102081</v>
      </c>
      <c r="U21" s="117">
        <f t="shared" si="8"/>
        <v>406359</v>
      </c>
      <c r="V21" s="117">
        <f t="shared" si="8"/>
        <v>117153</v>
      </c>
      <c r="W21" s="117">
        <f t="shared" ref="W21:X21" si="9">W16</f>
        <v>117078</v>
      </c>
      <c r="X21" s="117">
        <f t="shared" si="9"/>
        <v>122480</v>
      </c>
    </row>
    <row r="22" spans="1:25" x14ac:dyDescent="0.25">
      <c r="A22" s="38" t="s">
        <v>60</v>
      </c>
      <c r="B22" s="51">
        <f>-'Income Statement'!B24-B10</f>
        <v>9116</v>
      </c>
      <c r="C22" s="51">
        <f>-'Income Statement'!C24-C10</f>
        <v>9929</v>
      </c>
      <c r="D22" s="51">
        <f>-'Income Statement'!D24-D10</f>
        <v>10137</v>
      </c>
      <c r="E22" s="51">
        <f t="shared" ref="E22:E23" si="10">+F22-SUM(B22:D22)</f>
        <v>9991</v>
      </c>
      <c r="F22" s="51">
        <f>-'Income Statement'!F24-F10</f>
        <v>39173</v>
      </c>
      <c r="G22" s="51">
        <f>-'Income Statement'!G24-G10</f>
        <v>9338</v>
      </c>
      <c r="H22" s="51">
        <f>-'Income Statement'!H24-H10</f>
        <v>8918</v>
      </c>
      <c r="I22" s="51">
        <f>-'Income Statement'!I24-I10</f>
        <v>8426</v>
      </c>
      <c r="J22" s="51">
        <f t="shared" ref="J22:J23" si="11">+K22-SUM(G22:I22)</f>
        <v>9130</v>
      </c>
      <c r="K22" s="51">
        <f>-'Income Statement'!K24-K10</f>
        <v>35812</v>
      </c>
      <c r="L22" s="51">
        <f>-'Income Statement'!L24-L10</f>
        <v>9266</v>
      </c>
      <c r="M22" s="51">
        <f>-'Income Statement'!M24-M10</f>
        <v>9833</v>
      </c>
      <c r="N22" s="51">
        <f>-'Income Statement'!N24-N10</f>
        <v>10350</v>
      </c>
      <c r="O22" s="51">
        <f>-'Income Statement'!O24-O10</f>
        <v>12140</v>
      </c>
      <c r="P22" s="51">
        <f>-'Income Statement'!P24-P10</f>
        <v>41589</v>
      </c>
      <c r="Q22" s="51">
        <f>-'Income Statement'!Q24-Q10</f>
        <v>10311</v>
      </c>
      <c r="R22" s="51">
        <f>-'Income Statement'!R24-R10</f>
        <v>10778</v>
      </c>
      <c r="S22" s="51">
        <f>-'Income Statement'!S24-S10</f>
        <v>11818</v>
      </c>
      <c r="T22" s="51">
        <f>-'Income Statement'!T24-T10</f>
        <v>13037</v>
      </c>
      <c r="U22" s="51">
        <f>-'Income Statement'!U24-U10</f>
        <v>45944</v>
      </c>
      <c r="V22" s="51">
        <f>-'Income Statement'!V24-V10</f>
        <v>10777</v>
      </c>
      <c r="W22" s="51">
        <f>-'Income Statement'!W24-W10</f>
        <v>11346</v>
      </c>
      <c r="X22" s="51">
        <f>-'Income Statement'!X24-X10</f>
        <v>12568</v>
      </c>
    </row>
    <row r="23" spans="1:25" x14ac:dyDescent="0.25">
      <c r="A23" s="38" t="s">
        <v>110</v>
      </c>
      <c r="B23" s="22">
        <v>0</v>
      </c>
      <c r="C23" s="22">
        <v>0</v>
      </c>
      <c r="D23" s="22">
        <v>0</v>
      </c>
      <c r="E23" s="22">
        <f t="shared" si="10"/>
        <v>-304</v>
      </c>
      <c r="F23" s="22">
        <v>-304</v>
      </c>
      <c r="G23" s="22">
        <v>-749</v>
      </c>
      <c r="H23" s="22">
        <v>-629</v>
      </c>
      <c r="I23" s="22">
        <f>0</f>
        <v>0</v>
      </c>
      <c r="J23" s="22">
        <f t="shared" si="11"/>
        <v>0</v>
      </c>
      <c r="K23" s="75">
        <v>-1378</v>
      </c>
      <c r="L23" s="75">
        <v>0</v>
      </c>
      <c r="M23" s="75">
        <v>0</v>
      </c>
      <c r="N23" s="75">
        <v>0</v>
      </c>
      <c r="O23" s="75">
        <v>0</v>
      </c>
      <c r="P23" s="75">
        <v>0</v>
      </c>
      <c r="Q23" s="23">
        <f t="shared" ref="Q23:V23" si="12">Q14</f>
        <v>0</v>
      </c>
      <c r="R23" s="23">
        <f t="shared" si="12"/>
        <v>0</v>
      </c>
      <c r="S23" s="23">
        <f t="shared" si="12"/>
        <v>0</v>
      </c>
      <c r="T23" s="23">
        <f t="shared" si="12"/>
        <v>0</v>
      </c>
      <c r="U23" s="23">
        <f t="shared" si="12"/>
        <v>0</v>
      </c>
      <c r="V23" s="23">
        <f t="shared" si="12"/>
        <v>0</v>
      </c>
      <c r="W23" s="23">
        <f t="shared" ref="W23:X23" si="13">W14</f>
        <v>0</v>
      </c>
      <c r="X23" s="23">
        <f t="shared" si="13"/>
        <v>0</v>
      </c>
    </row>
    <row r="24" spans="1:25" ht="13" x14ac:dyDescent="0.3">
      <c r="A24" s="116" t="s">
        <v>57</v>
      </c>
      <c r="B24" s="117">
        <f t="shared" ref="B24:V24" si="14">SUM(B21:B23)</f>
        <v>68935</v>
      </c>
      <c r="C24" s="117">
        <f t="shared" si="14"/>
        <v>74713</v>
      </c>
      <c r="D24" s="117">
        <f t="shared" si="14"/>
        <v>76846</v>
      </c>
      <c r="E24" s="117">
        <f t="shared" si="14"/>
        <v>76972</v>
      </c>
      <c r="F24" s="117">
        <f t="shared" si="14"/>
        <v>297466</v>
      </c>
      <c r="G24" s="117">
        <f t="shared" si="14"/>
        <v>86504</v>
      </c>
      <c r="H24" s="117">
        <f t="shared" si="14"/>
        <v>89393</v>
      </c>
      <c r="I24" s="117">
        <f t="shared" si="14"/>
        <v>90580</v>
      </c>
      <c r="J24" s="117">
        <f t="shared" si="14"/>
        <v>82647</v>
      </c>
      <c r="K24" s="117">
        <f t="shared" si="14"/>
        <v>349124</v>
      </c>
      <c r="L24" s="117">
        <f t="shared" si="14"/>
        <v>91722</v>
      </c>
      <c r="M24" s="117">
        <f t="shared" si="14"/>
        <v>98628</v>
      </c>
      <c r="N24" s="117">
        <f t="shared" si="14"/>
        <v>104436</v>
      </c>
      <c r="O24" s="117">
        <f t="shared" si="14"/>
        <v>102885</v>
      </c>
      <c r="P24" s="117">
        <f t="shared" si="14"/>
        <v>397671</v>
      </c>
      <c r="Q24" s="117">
        <f t="shared" si="14"/>
        <v>111159</v>
      </c>
      <c r="R24" s="117">
        <f t="shared" si="14"/>
        <v>111585</v>
      </c>
      <c r="S24" s="117">
        <f t="shared" si="14"/>
        <v>114441</v>
      </c>
      <c r="T24" s="117">
        <f t="shared" si="14"/>
        <v>115118</v>
      </c>
      <c r="U24" s="117">
        <f t="shared" si="14"/>
        <v>452303</v>
      </c>
      <c r="V24" s="117">
        <f t="shared" si="14"/>
        <v>127930</v>
      </c>
      <c r="W24" s="117">
        <f t="shared" ref="W24:X24" si="15">SUM(W21:W23)</f>
        <v>128424</v>
      </c>
      <c r="X24" s="117">
        <f t="shared" si="15"/>
        <v>135048</v>
      </c>
    </row>
    <row r="25" spans="1:25" ht="13" x14ac:dyDescent="0.3">
      <c r="A25" s="57" t="s">
        <v>58</v>
      </c>
      <c r="B25" s="54">
        <f>IF(B24/'Income Statement'!B8&lt;0, "NM",B24/'Income Statement'!B8)</f>
        <v>0.20939649097227284</v>
      </c>
      <c r="C25" s="54">
        <f>IF(C24/'Income Statement'!C8&lt;0, "NM",C24/'Income Statement'!C8)</f>
        <v>0.21544659180695652</v>
      </c>
      <c r="D25" s="54">
        <f>IF(D24/'Income Statement'!D8&lt;0, "NM",D24/'Income Statement'!D8)</f>
        <v>0.21266303400295003</v>
      </c>
      <c r="E25" s="54">
        <f>IF(E24/'Income Statement'!E8&lt;0, "NM",E24/'Income Statement'!E8)</f>
        <v>0.20542136038409087</v>
      </c>
      <c r="F25" s="54">
        <f>IF(F24/'Income Statement'!F8&lt;0, "NM",F24/'Income Statement'!F8)</f>
        <v>0.21066340708929751</v>
      </c>
      <c r="G25" s="54">
        <f>IF(G24/'Income Statement'!G8&lt;0, "NM",G24/'Income Statement'!G8)</f>
        <v>0.21591291998113032</v>
      </c>
      <c r="H25" s="54">
        <f>IF(H24/'Income Statement'!H8&lt;0, "NM",H24/'Income Statement'!H8)</f>
        <v>0.2207256367964128</v>
      </c>
      <c r="I25" s="54">
        <f>IF(I24/'Income Statement'!I8&lt;0, "NM",I24/'Income Statement'!I8)</f>
        <v>0.22040484608403027</v>
      </c>
      <c r="J25" s="54">
        <f>IF(J24/'Income Statement'!J8&lt;0, "NM",J24/'Income Statement'!J8)</f>
        <v>0.19960247115138458</v>
      </c>
      <c r="K25" s="54">
        <f>IF(K24/'Income Statement'!K8&lt;0, "NM",K24/'Income Statement'!K8)</f>
        <v>0.21409876197975308</v>
      </c>
      <c r="L25" s="54">
        <f>IF(L24/'Income Statement'!L8&lt;0, "NM",L24/'Income Statement'!L8)</f>
        <v>0.21012721445475102</v>
      </c>
      <c r="M25" s="54">
        <f>IF(M24/'Income Statement'!M8&lt;0, "NM",M24/'Income Statement'!M8)</f>
        <v>0.21997207638402555</v>
      </c>
      <c r="N25" s="54">
        <f>IF(N24/'Income Statement'!N8&lt;0, "NM",N24/'Income Statement'!N8)</f>
        <v>0.2212284964401692</v>
      </c>
      <c r="O25" s="54">
        <f>IF(O24/'Income Statement'!O8&lt;0, "NM",O24/'Income Statement'!O8)</f>
        <v>0.21370885660516881</v>
      </c>
      <c r="P25" s="54">
        <f>IF(P24/'Income Statement'!P8&lt;0, "NM",P24/'Income Statement'!P8)</f>
        <v>0.21631693694203349</v>
      </c>
      <c r="Q25" s="54">
        <f>IF(Q24/'Income Statement'!Q8&lt;0, "NM",Q24/'Income Statement'!Q8)</f>
        <v>0.22186583742333124</v>
      </c>
      <c r="R25" s="54">
        <f>IF(R24/'Income Statement'!R8&lt;0, "NM",R24/'Income Statement'!R8)</f>
        <v>0.21689732923842475</v>
      </c>
      <c r="S25" s="54">
        <f>IF(S24/'Income Statement'!S8&lt;0, "NM",S24/'Income Statement'!S8)</f>
        <v>0.21609562204367572</v>
      </c>
      <c r="T25" s="54">
        <f>IF(T24/'Income Statement'!T8&lt;0, "NM",T24/'Income Statement'!T8)</f>
        <v>0.21215410558130535</v>
      </c>
      <c r="U25" s="54">
        <f>IF(U24/'Income Statement'!U8&lt;0, "NM",U24/'Income Statement'!U8)</f>
        <v>0.21665351809353833</v>
      </c>
      <c r="V25" s="54">
        <f>IFERROR(IF(V24/'Income Statement'!V8&lt;0, "NM",V24/'Income Statement'!V8),0)</f>
        <v>0.22430047462001471</v>
      </c>
      <c r="W25" s="54">
        <f>IFERROR(IF(W24/'Income Statement'!W8&lt;0, "NM",W24/'Income Statement'!W8),0)</f>
        <v>0.21592466242856398</v>
      </c>
      <c r="X25" s="54">
        <f>IFERROR(IF(X24/'Income Statement'!X8&lt;0, "NM",X24/'Income Statement'!X8),0)</f>
        <v>0.21302323967322809</v>
      </c>
    </row>
    <row r="26" spans="1:25" ht="13" x14ac:dyDescent="0.3">
      <c r="A26" s="36" t="s">
        <v>168</v>
      </c>
      <c r="B26" s="172">
        <v>70</v>
      </c>
      <c r="C26" s="172">
        <v>60</v>
      </c>
      <c r="D26" s="172">
        <v>-20</v>
      </c>
      <c r="E26" s="172">
        <v>-80</v>
      </c>
      <c r="F26" s="77" t="s">
        <v>41</v>
      </c>
      <c r="G26" s="172">
        <f>ROUNDUP((G25-E25)*10000,-1)</f>
        <v>110</v>
      </c>
      <c r="H26" s="172">
        <f>ROUND((H25-G25)*10000,-1)</f>
        <v>50</v>
      </c>
      <c r="I26" s="172">
        <f>ROUNDUP((I25-H25)*10000,-1)</f>
        <v>-10</v>
      </c>
      <c r="J26" s="172">
        <f>ROUNDDOWN((J25-I25)*10000,-1)</f>
        <v>-200</v>
      </c>
      <c r="K26" s="77" t="s">
        <v>41</v>
      </c>
      <c r="L26" s="172">
        <f>ROUNDDOWN((L25-J25)*10000,-1)</f>
        <v>100</v>
      </c>
      <c r="M26" s="172">
        <f>ROUND((M25-L25)*10000,-1)</f>
        <v>100</v>
      </c>
      <c r="N26" s="172">
        <f t="shared" ref="N26" si="16">ROUND((N25-M25)*10000,-1)</f>
        <v>10</v>
      </c>
      <c r="O26" s="172">
        <f>ROUNDDOWN((O25-N25)*10000,-1)</f>
        <v>-70</v>
      </c>
      <c r="P26" s="77" t="s">
        <v>41</v>
      </c>
      <c r="Q26" s="172">
        <f>ROUNDDOWN((Q25-O25)*10000,-1)</f>
        <v>80</v>
      </c>
      <c r="R26" s="172">
        <f>ROUND((R25-Q25)*10000,-1)</f>
        <v>-50</v>
      </c>
      <c r="S26" s="172">
        <f>ROUND((S25-R25)*10000,-1)</f>
        <v>-10</v>
      </c>
      <c r="T26" s="172">
        <f>ROUND((T25-S25)*10000,-1)</f>
        <v>-40</v>
      </c>
      <c r="U26" s="77" t="s">
        <v>41</v>
      </c>
      <c r="V26" s="172">
        <f>ROUNDDOWN((V25-T25)*10000,-1)</f>
        <v>120</v>
      </c>
      <c r="W26" s="172">
        <f>ROUND((W25-V25)*10000,-1)</f>
        <v>-80</v>
      </c>
      <c r="X26" s="172">
        <f>ROUND((X25-W25)*10000,-1)</f>
        <v>-30</v>
      </c>
    </row>
    <row r="27" spans="1:25" ht="13.5" thickBot="1" x14ac:dyDescent="0.35">
      <c r="A27" s="58" t="s">
        <v>169</v>
      </c>
      <c r="B27" s="173">
        <v>-260</v>
      </c>
      <c r="C27" s="173">
        <v>30</v>
      </c>
      <c r="D27" s="173">
        <v>-130</v>
      </c>
      <c r="E27" s="173">
        <v>30</v>
      </c>
      <c r="F27" s="173">
        <v>-70</v>
      </c>
      <c r="G27" s="173">
        <f t="shared" ref="G27:R27" si="17">ROUND((G25-B25)*10000,-1)</f>
        <v>70</v>
      </c>
      <c r="H27" s="173">
        <f>ROUNDUP((H25-C25)*10000,-1)</f>
        <v>60</v>
      </c>
      <c r="I27" s="173">
        <f>ROUNDDOWN((I25-D25)*10000,-1)</f>
        <v>70</v>
      </c>
      <c r="J27" s="173">
        <f>ROUNDDOWN((J25-E25)*10000,-1)</f>
        <v>-50</v>
      </c>
      <c r="K27" s="173">
        <f t="shared" si="17"/>
        <v>30</v>
      </c>
      <c r="L27" s="173">
        <f t="shared" si="17"/>
        <v>-60</v>
      </c>
      <c r="M27" s="173">
        <f t="shared" si="17"/>
        <v>-10</v>
      </c>
      <c r="N27" s="173">
        <f t="shared" si="17"/>
        <v>10</v>
      </c>
      <c r="O27" s="173">
        <f t="shared" si="17"/>
        <v>140</v>
      </c>
      <c r="P27" s="173">
        <f t="shared" si="17"/>
        <v>20</v>
      </c>
      <c r="Q27" s="173">
        <f t="shared" si="17"/>
        <v>120</v>
      </c>
      <c r="R27" s="173">
        <f t="shared" si="17"/>
        <v>-30</v>
      </c>
      <c r="S27" s="173">
        <f>ROUND((S25-N25)*10000,-1)</f>
        <v>-50</v>
      </c>
      <c r="T27" s="173">
        <f>ROUND((T25-O25)*10000,-1)</f>
        <v>-20</v>
      </c>
      <c r="U27" s="173">
        <f>ROUNDUP((U25-P25)*10000,-1)</f>
        <v>10</v>
      </c>
      <c r="V27" s="173">
        <f>ROUND((V25-Q25)*10000,-1)</f>
        <v>20</v>
      </c>
      <c r="W27" s="173">
        <f>ROUND((W25-R25)*10000,-1)</f>
        <v>-10</v>
      </c>
      <c r="X27" s="173">
        <f>ROUND((X25-S25)*10000,-1)</f>
        <v>-30</v>
      </c>
    </row>
    <row r="28" spans="1:25" ht="6" customHeight="1" x14ac:dyDescent="0.3">
      <c r="A28" s="57"/>
    </row>
    <row r="29" spans="1:25" ht="13" x14ac:dyDescent="0.3">
      <c r="A29" s="116" t="s">
        <v>59</v>
      </c>
      <c r="B29" s="117">
        <f>'Income Statement'!B43</f>
        <v>36178</v>
      </c>
      <c r="C29" s="117">
        <f>'Income Statement'!C43</f>
        <v>35846</v>
      </c>
      <c r="D29" s="117">
        <f>'Income Statement'!D43</f>
        <v>39095</v>
      </c>
      <c r="E29" s="117">
        <f>'Income Statement'!E43</f>
        <v>31849</v>
      </c>
      <c r="F29" s="117">
        <f>'Income Statement'!F43</f>
        <v>142968</v>
      </c>
      <c r="G29" s="117">
        <f>'Income Statement'!G43</f>
        <v>51331</v>
      </c>
      <c r="H29" s="117">
        <f>'Income Statement'!H43</f>
        <v>49068</v>
      </c>
      <c r="I29" s="117">
        <f>'Income Statement'!I43</f>
        <v>43876</v>
      </c>
      <c r="J29" s="117">
        <f>'Income Statement'!J43</f>
        <v>40283</v>
      </c>
      <c r="K29" s="117">
        <f>'Income Statement'!K43</f>
        <v>184558</v>
      </c>
      <c r="L29" s="117">
        <f>'Income Statement'!L43</f>
        <v>48763</v>
      </c>
      <c r="M29" s="117">
        <f>'Income Statement'!M43</f>
        <v>45825</v>
      </c>
      <c r="N29" s="117">
        <f>'Income Statement'!N43</f>
        <v>53037</v>
      </c>
      <c r="O29" s="117">
        <f>'Income Statement'!O43</f>
        <v>50672</v>
      </c>
      <c r="P29" s="117">
        <f>'Income Statement'!P43</f>
        <v>198297</v>
      </c>
      <c r="Q29" s="117">
        <f>'Income Statement'!Q43</f>
        <v>66561</v>
      </c>
      <c r="R29" s="117">
        <f>'Income Statement'!R43</f>
        <v>66051</v>
      </c>
      <c r="S29" s="117">
        <f>'Income Statement'!S43</f>
        <v>58161</v>
      </c>
      <c r="T29" s="117">
        <f>'Income Statement'!T43</f>
        <v>60246</v>
      </c>
      <c r="U29" s="117">
        <f>'Income Statement'!U43</f>
        <v>251019</v>
      </c>
      <c r="V29" s="117">
        <f>'Income Statement'!V43</f>
        <v>67081</v>
      </c>
      <c r="W29" s="117">
        <f>'Income Statement'!W43</f>
        <v>64511</v>
      </c>
      <c r="X29" s="117">
        <f>'Income Statement'!X43</f>
        <v>68771</v>
      </c>
    </row>
    <row r="30" spans="1:25" x14ac:dyDescent="0.25">
      <c r="A30" s="38" t="s">
        <v>91</v>
      </c>
      <c r="B30" s="75">
        <f t="shared" ref="B30:D30" si="18">B11</f>
        <v>11224</v>
      </c>
      <c r="C30" s="75">
        <f t="shared" si="18"/>
        <v>13340</v>
      </c>
      <c r="D30" s="75">
        <f t="shared" si="18"/>
        <v>12186</v>
      </c>
      <c r="E30" s="75">
        <f>+F30-SUM(B30:D30)</f>
        <v>12616</v>
      </c>
      <c r="F30" s="75">
        <f>F11</f>
        <v>49366</v>
      </c>
      <c r="G30" s="75">
        <f>G11</f>
        <v>14407</v>
      </c>
      <c r="H30" s="75">
        <f>H11</f>
        <v>11511</v>
      </c>
      <c r="I30" s="75">
        <f>I11</f>
        <v>17067</v>
      </c>
      <c r="J30" s="75">
        <f t="shared" ref="J30:J44" si="19">+ROUND(K30-SUM(G30:I30),0)</f>
        <v>15452</v>
      </c>
      <c r="K30" s="75">
        <f>K11</f>
        <v>58437</v>
      </c>
      <c r="L30" s="75">
        <f>L11</f>
        <v>17852</v>
      </c>
      <c r="M30" s="75">
        <f>M11</f>
        <v>18095</v>
      </c>
      <c r="N30" s="75">
        <f>N11</f>
        <v>21232</v>
      </c>
      <c r="O30" s="75">
        <f t="shared" ref="O30:O49" si="20">+ROUND(P30-SUM(L30:N30),0)</f>
        <v>15479</v>
      </c>
      <c r="P30" s="75">
        <f>P11</f>
        <v>72658</v>
      </c>
      <c r="Q30" s="75">
        <f>Q11</f>
        <v>19187</v>
      </c>
      <c r="R30" s="75">
        <f>R11</f>
        <v>16392</v>
      </c>
      <c r="S30" s="75">
        <f>S11</f>
        <v>23139</v>
      </c>
      <c r="T30" s="75">
        <f t="shared" ref="T30:T50" si="21">U30-SUM(Q30:S30)</f>
        <v>20751</v>
      </c>
      <c r="U30" s="75">
        <f>U11</f>
        <v>79469</v>
      </c>
      <c r="V30" s="75">
        <f>V11</f>
        <v>22101</v>
      </c>
      <c r="W30" s="75">
        <f>W11</f>
        <v>24631</v>
      </c>
      <c r="X30" s="75">
        <f>X11</f>
        <v>25542</v>
      </c>
    </row>
    <row r="31" spans="1:25" x14ac:dyDescent="0.25">
      <c r="A31" s="38" t="s">
        <v>90</v>
      </c>
      <c r="B31" s="75">
        <f t="shared" ref="B31:D31" si="22">B10</f>
        <v>4486</v>
      </c>
      <c r="C31" s="75">
        <f t="shared" si="22"/>
        <v>4146</v>
      </c>
      <c r="D31" s="75">
        <f t="shared" si="22"/>
        <v>4243</v>
      </c>
      <c r="E31" s="75">
        <f>+F31-SUM(B31:D31)</f>
        <v>4234</v>
      </c>
      <c r="F31" s="75">
        <f>F10</f>
        <v>17109</v>
      </c>
      <c r="G31" s="75">
        <f>G10</f>
        <v>4149</v>
      </c>
      <c r="H31" s="75">
        <f>H10</f>
        <v>4204</v>
      </c>
      <c r="I31" s="75">
        <f>I10</f>
        <v>3157</v>
      </c>
      <c r="J31" s="75">
        <f t="shared" si="19"/>
        <v>3168</v>
      </c>
      <c r="K31" s="75">
        <f>K10</f>
        <v>14678</v>
      </c>
      <c r="L31" s="75">
        <f>L10</f>
        <v>3080</v>
      </c>
      <c r="M31" s="75">
        <f>M10</f>
        <v>3077</v>
      </c>
      <c r="N31" s="75">
        <f>N10</f>
        <v>3449</v>
      </c>
      <c r="O31" s="75">
        <f t="shared" si="20"/>
        <v>4024</v>
      </c>
      <c r="P31" s="75">
        <f>P10</f>
        <v>13630</v>
      </c>
      <c r="Q31" s="75">
        <f>Q10</f>
        <v>3246</v>
      </c>
      <c r="R31" s="75">
        <f>R10</f>
        <v>3277</v>
      </c>
      <c r="S31" s="75">
        <f>S10</f>
        <v>3310</v>
      </c>
      <c r="T31" s="75">
        <f t="shared" si="21"/>
        <v>3307</v>
      </c>
      <c r="U31" s="75">
        <f>U10</f>
        <v>13140</v>
      </c>
      <c r="V31" s="75">
        <f>V10</f>
        <v>3226</v>
      </c>
      <c r="W31" s="75">
        <f>W10</f>
        <v>3258</v>
      </c>
      <c r="X31" s="75">
        <f>X10</f>
        <v>6297</v>
      </c>
    </row>
    <row r="32" spans="1:25" x14ac:dyDescent="0.25">
      <c r="A32" s="38" t="s">
        <v>112</v>
      </c>
      <c r="B32" s="75">
        <v>0</v>
      </c>
      <c r="C32" s="75">
        <v>580</v>
      </c>
      <c r="D32" s="75">
        <v>481</v>
      </c>
      <c r="E32" s="75">
        <f>+F32-SUM(B32:D32)</f>
        <v>0</v>
      </c>
      <c r="F32" s="75">
        <v>1061</v>
      </c>
      <c r="G32" s="75">
        <v>0</v>
      </c>
      <c r="H32" s="75">
        <v>0</v>
      </c>
      <c r="I32" s="75">
        <v>0</v>
      </c>
      <c r="J32" s="75">
        <f t="shared" si="19"/>
        <v>613</v>
      </c>
      <c r="K32" s="75">
        <v>613</v>
      </c>
      <c r="L32" s="75">
        <v>0</v>
      </c>
      <c r="M32" s="75">
        <f>M12</f>
        <v>1412</v>
      </c>
      <c r="N32" s="75">
        <f>N12</f>
        <v>0</v>
      </c>
      <c r="O32" s="75">
        <f t="shared" si="20"/>
        <v>0</v>
      </c>
      <c r="P32" s="75">
        <f>P12</f>
        <v>1412</v>
      </c>
      <c r="Q32" s="75">
        <f>Q12</f>
        <v>0</v>
      </c>
      <c r="R32" s="75">
        <f>R12</f>
        <v>0</v>
      </c>
      <c r="S32" s="75">
        <f>S12</f>
        <v>0</v>
      </c>
      <c r="T32" s="75">
        <f t="shared" si="21"/>
        <v>0</v>
      </c>
      <c r="U32" s="75">
        <f>U12</f>
        <v>0</v>
      </c>
      <c r="V32" s="75">
        <f>V12</f>
        <v>0</v>
      </c>
      <c r="W32" s="75">
        <f>W12</f>
        <v>0</v>
      </c>
      <c r="X32" s="75">
        <f>X12</f>
        <v>0</v>
      </c>
    </row>
    <row r="33" spans="1:24" x14ac:dyDescent="0.25">
      <c r="A33" s="38" t="s">
        <v>94</v>
      </c>
      <c r="B33" s="75">
        <v>134</v>
      </c>
      <c r="C33" s="75">
        <v>0</v>
      </c>
      <c r="D33" s="75">
        <v>0</v>
      </c>
      <c r="E33" s="75">
        <f>+F33-SUM(B33:D33)</f>
        <v>0</v>
      </c>
      <c r="F33" s="75">
        <f>F13</f>
        <v>134</v>
      </c>
      <c r="G33" s="75">
        <v>0</v>
      </c>
      <c r="H33" s="75">
        <v>0</v>
      </c>
      <c r="I33" s="75">
        <v>0</v>
      </c>
      <c r="J33" s="75">
        <f t="shared" si="19"/>
        <v>0</v>
      </c>
      <c r="K33" s="75">
        <v>0</v>
      </c>
      <c r="L33" s="75">
        <v>0</v>
      </c>
      <c r="M33" s="75">
        <v>0</v>
      </c>
      <c r="N33" s="75">
        <v>0</v>
      </c>
      <c r="O33" s="75">
        <f t="shared" si="20"/>
        <v>0</v>
      </c>
      <c r="P33" s="75">
        <v>0</v>
      </c>
      <c r="Q33" s="75">
        <v>0</v>
      </c>
      <c r="R33" s="75">
        <v>0</v>
      </c>
      <c r="S33" s="75">
        <v>0</v>
      </c>
      <c r="T33" s="75">
        <f t="shared" si="21"/>
        <v>0</v>
      </c>
      <c r="U33" s="75">
        <v>0</v>
      </c>
      <c r="V33" s="75">
        <v>0</v>
      </c>
      <c r="W33" s="75">
        <v>1894</v>
      </c>
      <c r="X33" s="75">
        <v>1785</v>
      </c>
    </row>
    <row r="34" spans="1:24" ht="18.5" hidden="1" customHeight="1" x14ac:dyDescent="0.25">
      <c r="A34" s="38"/>
      <c r="B34" s="71"/>
      <c r="C34" s="23"/>
      <c r="D34" s="23"/>
      <c r="E34" s="75"/>
      <c r="F34" s="23"/>
      <c r="G34" s="23"/>
      <c r="H34" s="23"/>
      <c r="I34" s="23"/>
      <c r="J34" s="75"/>
      <c r="K34" s="23"/>
      <c r="L34" s="23"/>
      <c r="M34" s="23"/>
      <c r="N34" s="23"/>
      <c r="O34" s="75"/>
      <c r="P34" s="23"/>
      <c r="Q34" s="23"/>
      <c r="R34" s="75"/>
      <c r="S34" s="75"/>
      <c r="T34" s="75"/>
      <c r="U34" s="75"/>
      <c r="V34" s="75"/>
      <c r="W34" s="75"/>
      <c r="X34" s="75"/>
    </row>
    <row r="35" spans="1:24" x14ac:dyDescent="0.25">
      <c r="A35" s="100" t="s">
        <v>149</v>
      </c>
      <c r="B35" s="75">
        <f t="shared" ref="B35:S35" si="23">B15</f>
        <v>0</v>
      </c>
      <c r="C35" s="75">
        <f t="shared" si="23"/>
        <v>0</v>
      </c>
      <c r="D35" s="75">
        <f t="shared" si="23"/>
        <v>0</v>
      </c>
      <c r="E35" s="75">
        <f t="shared" si="23"/>
        <v>0</v>
      </c>
      <c r="F35" s="75">
        <f t="shared" si="23"/>
        <v>0</v>
      </c>
      <c r="G35" s="75">
        <f t="shared" si="23"/>
        <v>0</v>
      </c>
      <c r="H35" s="75">
        <f t="shared" si="23"/>
        <v>0</v>
      </c>
      <c r="I35" s="75">
        <f t="shared" si="23"/>
        <v>0</v>
      </c>
      <c r="J35" s="75">
        <f t="shared" si="23"/>
        <v>0</v>
      </c>
      <c r="K35" s="75">
        <f t="shared" si="23"/>
        <v>0</v>
      </c>
      <c r="L35" s="75">
        <f t="shared" si="23"/>
        <v>0</v>
      </c>
      <c r="M35" s="75">
        <f t="shared" si="23"/>
        <v>4762</v>
      </c>
      <c r="N35" s="75">
        <f t="shared" si="23"/>
        <v>0</v>
      </c>
      <c r="O35" s="75">
        <f t="shared" si="23"/>
        <v>0</v>
      </c>
      <c r="P35" s="75">
        <f t="shared" si="23"/>
        <v>4762</v>
      </c>
      <c r="Q35" s="75">
        <f t="shared" si="23"/>
        <v>0</v>
      </c>
      <c r="R35" s="75">
        <f t="shared" si="23"/>
        <v>0</v>
      </c>
      <c r="S35" s="75">
        <f t="shared" si="23"/>
        <v>0</v>
      </c>
      <c r="T35" s="75">
        <f t="shared" si="21"/>
        <v>0</v>
      </c>
      <c r="U35" s="75">
        <v>0</v>
      </c>
      <c r="V35" s="75">
        <f>V15</f>
        <v>0</v>
      </c>
      <c r="W35" s="75">
        <f>W15</f>
        <v>0</v>
      </c>
      <c r="X35" s="75">
        <f>X15</f>
        <v>0</v>
      </c>
    </row>
    <row r="36" spans="1:24" x14ac:dyDescent="0.25">
      <c r="A36" s="100" t="s">
        <v>208</v>
      </c>
      <c r="B36" s="75"/>
      <c r="C36" s="75"/>
      <c r="D36" s="75"/>
      <c r="E36" s="75"/>
      <c r="F36" s="75">
        <v>0</v>
      </c>
      <c r="G36" s="75"/>
      <c r="H36" s="75"/>
      <c r="I36" s="75"/>
      <c r="J36" s="75"/>
      <c r="K36" s="75">
        <v>0</v>
      </c>
      <c r="L36" s="75"/>
      <c r="M36" s="75"/>
      <c r="N36" s="75"/>
      <c r="O36" s="75"/>
      <c r="P36" s="75">
        <v>0</v>
      </c>
      <c r="Q36" s="75">
        <v>0</v>
      </c>
      <c r="R36" s="75">
        <v>0</v>
      </c>
      <c r="S36" s="75">
        <v>0</v>
      </c>
      <c r="T36" s="75">
        <v>0</v>
      </c>
      <c r="U36" s="75">
        <v>0</v>
      </c>
      <c r="V36" s="75">
        <v>521</v>
      </c>
      <c r="W36" s="75">
        <v>566</v>
      </c>
      <c r="X36" s="75">
        <v>575</v>
      </c>
    </row>
    <row r="37" spans="1:24" s="76" customFormat="1" x14ac:dyDescent="0.25">
      <c r="A37" s="100" t="s">
        <v>146</v>
      </c>
      <c r="B37" s="80">
        <v>0</v>
      </c>
      <c r="C37" s="80">
        <v>0</v>
      </c>
      <c r="D37" s="80">
        <v>0</v>
      </c>
      <c r="E37" s="80">
        <v>0</v>
      </c>
      <c r="F37" s="80">
        <v>0</v>
      </c>
      <c r="G37" s="80">
        <v>0</v>
      </c>
      <c r="H37" s="80">
        <v>0</v>
      </c>
      <c r="I37" s="75">
        <v>1700</v>
      </c>
      <c r="J37" s="75">
        <f t="shared" si="19"/>
        <v>-264</v>
      </c>
      <c r="K37" s="80">
        <v>1436</v>
      </c>
      <c r="L37" s="75">
        <v>0</v>
      </c>
      <c r="M37" s="75">
        <v>0</v>
      </c>
      <c r="N37" s="75">
        <v>0</v>
      </c>
      <c r="O37" s="75">
        <f t="shared" si="20"/>
        <v>0</v>
      </c>
      <c r="P37" s="75">
        <v>0</v>
      </c>
      <c r="Q37" s="75">
        <v>0</v>
      </c>
      <c r="R37" s="75">
        <v>0</v>
      </c>
      <c r="S37" s="75">
        <v>0</v>
      </c>
      <c r="T37" s="75">
        <f t="shared" si="21"/>
        <v>0</v>
      </c>
      <c r="U37" s="75">
        <v>0</v>
      </c>
      <c r="V37" s="75">
        <v>0</v>
      </c>
      <c r="W37" s="75">
        <v>0</v>
      </c>
      <c r="X37" s="75">
        <v>0</v>
      </c>
    </row>
    <row r="38" spans="1:24" x14ac:dyDescent="0.25">
      <c r="A38" s="38" t="s">
        <v>110</v>
      </c>
      <c r="B38" s="75">
        <v>0</v>
      </c>
      <c r="C38" s="75">
        <v>0</v>
      </c>
      <c r="D38" s="75">
        <v>0</v>
      </c>
      <c r="E38" s="75">
        <f>+F38-SUM(B38:D38)</f>
        <v>-560</v>
      </c>
      <c r="F38" s="75">
        <v>-560</v>
      </c>
      <c r="G38" s="75">
        <v>-89</v>
      </c>
      <c r="H38" s="75">
        <v>578</v>
      </c>
      <c r="I38" s="75">
        <v>0</v>
      </c>
      <c r="J38" s="75">
        <f t="shared" si="19"/>
        <v>0</v>
      </c>
      <c r="K38" s="75">
        <v>489</v>
      </c>
      <c r="L38" s="75">
        <v>0</v>
      </c>
      <c r="M38" s="75">
        <v>0</v>
      </c>
      <c r="N38" s="75">
        <v>0</v>
      </c>
      <c r="O38" s="75">
        <f t="shared" si="20"/>
        <v>0</v>
      </c>
      <c r="P38" s="75">
        <v>0</v>
      </c>
      <c r="Q38" s="75">
        <v>0</v>
      </c>
      <c r="R38" s="75">
        <v>0</v>
      </c>
      <c r="S38" s="75">
        <v>0</v>
      </c>
      <c r="T38" s="75">
        <f t="shared" si="21"/>
        <v>0</v>
      </c>
      <c r="U38" s="75">
        <v>0</v>
      </c>
      <c r="V38" s="75">
        <v>0</v>
      </c>
      <c r="W38" s="75">
        <v>0</v>
      </c>
      <c r="X38" s="75">
        <v>0</v>
      </c>
    </row>
    <row r="39" spans="1:24" x14ac:dyDescent="0.25">
      <c r="A39" s="38" t="s">
        <v>113</v>
      </c>
      <c r="B39" s="75">
        <v>0</v>
      </c>
      <c r="C39" s="75">
        <v>1000</v>
      </c>
      <c r="D39" s="23">
        <v>0</v>
      </c>
      <c r="E39" s="75">
        <f>+ROUND(F39-SUM(B39:D39),0)</f>
        <v>7500</v>
      </c>
      <c r="F39" s="75">
        <v>8500</v>
      </c>
      <c r="G39" s="75">
        <v>0</v>
      </c>
      <c r="H39" s="75">
        <v>0</v>
      </c>
      <c r="I39" s="75">
        <v>2500</v>
      </c>
      <c r="J39" s="75">
        <f>+ROUND(K39-SUM(G39:I39),0)</f>
        <v>-600</v>
      </c>
      <c r="K39" s="75">
        <v>1900</v>
      </c>
      <c r="L39" s="75">
        <v>-589</v>
      </c>
      <c r="M39" s="75">
        <v>0</v>
      </c>
      <c r="N39" s="75">
        <v>0</v>
      </c>
      <c r="O39" s="75">
        <f>+ROUND(P39-SUM(L39:N39),0)</f>
        <v>0</v>
      </c>
      <c r="P39" s="75">
        <v>-589</v>
      </c>
      <c r="Q39" s="75">
        <v>0</v>
      </c>
      <c r="R39" s="75">
        <v>0</v>
      </c>
      <c r="S39" s="75">
        <v>0</v>
      </c>
      <c r="T39" s="75">
        <f t="shared" si="21"/>
        <v>2300</v>
      </c>
      <c r="U39" s="75">
        <v>2300</v>
      </c>
      <c r="V39" s="75">
        <v>0</v>
      </c>
      <c r="W39" s="75">
        <v>3000</v>
      </c>
      <c r="X39" s="75">
        <v>0</v>
      </c>
    </row>
    <row r="40" spans="1:24" x14ac:dyDescent="0.25">
      <c r="A40" s="38" t="s">
        <v>187</v>
      </c>
      <c r="B40" s="75">
        <v>0</v>
      </c>
      <c r="C40" s="75">
        <v>-92</v>
      </c>
      <c r="D40" s="75">
        <v>-78</v>
      </c>
      <c r="E40" s="75">
        <f>+F40-SUM(B40:D40)</f>
        <v>-1079</v>
      </c>
      <c r="F40" s="75">
        <v>-1249</v>
      </c>
      <c r="G40" s="75">
        <v>0</v>
      </c>
      <c r="H40" s="75">
        <v>0</v>
      </c>
      <c r="I40" s="75">
        <v>0</v>
      </c>
      <c r="J40" s="75">
        <f>+ROUND(K40-SUM(G40:I40),0)</f>
        <v>219</v>
      </c>
      <c r="K40" s="75">
        <v>219</v>
      </c>
      <c r="L40" s="75">
        <v>151</v>
      </c>
      <c r="M40" s="75">
        <v>-1588</v>
      </c>
      <c r="N40" s="75">
        <v>0</v>
      </c>
      <c r="O40" s="75">
        <f>+ROUND(P40-SUM(L40:N40),0)</f>
        <v>3860</v>
      </c>
      <c r="P40" s="75">
        <v>2423</v>
      </c>
      <c r="Q40" s="75">
        <v>0</v>
      </c>
      <c r="R40" s="75">
        <v>0</v>
      </c>
      <c r="S40" s="75">
        <v>0</v>
      </c>
      <c r="T40" s="75">
        <f t="shared" si="21"/>
        <v>267</v>
      </c>
      <c r="U40" s="75">
        <v>267</v>
      </c>
      <c r="V40" s="75">
        <v>0</v>
      </c>
      <c r="W40" s="75">
        <v>0</v>
      </c>
      <c r="X40" s="75">
        <v>0</v>
      </c>
    </row>
    <row r="41" spans="1:24" hidden="1" x14ac:dyDescent="0.25">
      <c r="A41" s="38"/>
      <c r="B41" s="55"/>
      <c r="C41" s="55"/>
      <c r="D41" s="55"/>
      <c r="E41" s="93"/>
      <c r="F41" s="55"/>
      <c r="G41" s="55"/>
      <c r="H41" s="55"/>
      <c r="I41" s="55"/>
      <c r="J41" s="75"/>
      <c r="K41" s="5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</row>
    <row r="42" spans="1:24" x14ac:dyDescent="0.25">
      <c r="A42" s="38" t="s">
        <v>196</v>
      </c>
      <c r="B42" s="55">
        <v>0</v>
      </c>
      <c r="C42" s="55">
        <v>0</v>
      </c>
      <c r="D42" s="55">
        <v>0</v>
      </c>
      <c r="E42" s="93">
        <v>0</v>
      </c>
      <c r="F42" s="55">
        <v>0</v>
      </c>
      <c r="G42" s="55">
        <v>0</v>
      </c>
      <c r="H42" s="55">
        <v>0</v>
      </c>
      <c r="I42" s="55">
        <v>0</v>
      </c>
      <c r="J42" s="75">
        <v>0</v>
      </c>
      <c r="K42" s="5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0</v>
      </c>
      <c r="Q42" s="75">
        <v>0</v>
      </c>
      <c r="R42" s="75">
        <v>-945</v>
      </c>
      <c r="S42" s="75">
        <v>0</v>
      </c>
      <c r="T42" s="75">
        <f t="shared" si="21"/>
        <v>0</v>
      </c>
      <c r="U42" s="75">
        <v>-945</v>
      </c>
      <c r="V42" s="75">
        <v>0</v>
      </c>
      <c r="W42" s="75">
        <v>0</v>
      </c>
      <c r="X42" s="75">
        <v>0</v>
      </c>
    </row>
    <row r="43" spans="1:24" x14ac:dyDescent="0.25">
      <c r="A43" s="38" t="s">
        <v>61</v>
      </c>
      <c r="B43" s="71">
        <v>-2806</v>
      </c>
      <c r="C43" s="23">
        <v>-3216</v>
      </c>
      <c r="D43" s="23">
        <v>-2833</v>
      </c>
      <c r="E43" s="75">
        <f>+F43-SUM(B43:D43)</f>
        <v>-930</v>
      </c>
      <c r="F43" s="71">
        <v>-9785</v>
      </c>
      <c r="G43" s="71">
        <v>-9830</v>
      </c>
      <c r="H43" s="71">
        <v>-2789</v>
      </c>
      <c r="I43" s="71">
        <v>-4340</v>
      </c>
      <c r="J43" s="75">
        <f t="shared" si="19"/>
        <v>-374</v>
      </c>
      <c r="K43" s="75">
        <v>-17333</v>
      </c>
      <c r="L43" s="75">
        <v>-5358</v>
      </c>
      <c r="M43" s="75">
        <v>-4619</v>
      </c>
      <c r="N43" s="75">
        <v>-5830</v>
      </c>
      <c r="O43" s="75">
        <f t="shared" si="20"/>
        <v>-1769</v>
      </c>
      <c r="P43" s="75">
        <v>-17576</v>
      </c>
      <c r="Q43" s="75">
        <v>-9105</v>
      </c>
      <c r="R43" s="75">
        <v>-4211</v>
      </c>
      <c r="S43" s="75">
        <v>-5786</v>
      </c>
      <c r="T43" s="75">
        <f t="shared" si="21"/>
        <v>-5895</v>
      </c>
      <c r="U43" s="75">
        <v>-24997</v>
      </c>
      <c r="V43" s="75">
        <v>-1316</v>
      </c>
      <c r="W43" s="75">
        <v>-6097</v>
      </c>
      <c r="X43" s="75">
        <v>-6445</v>
      </c>
    </row>
    <row r="44" spans="1:24" x14ac:dyDescent="0.25">
      <c r="A44" s="38" t="s">
        <v>92</v>
      </c>
      <c r="B44" s="71">
        <v>-1052</v>
      </c>
      <c r="C44" s="23">
        <v>-971</v>
      </c>
      <c r="D44" s="23">
        <v>-994</v>
      </c>
      <c r="E44" s="75">
        <f>+ROUND(F44-SUM(B44:D44),0)</f>
        <v>-1134</v>
      </c>
      <c r="F44" s="71">
        <v>-4151</v>
      </c>
      <c r="G44" s="75">
        <v>-1023</v>
      </c>
      <c r="H44" s="75">
        <v>-1036</v>
      </c>
      <c r="I44" s="75">
        <v>-771</v>
      </c>
      <c r="J44" s="75">
        <f t="shared" si="19"/>
        <v>-792</v>
      </c>
      <c r="K44" s="75">
        <v>-3622</v>
      </c>
      <c r="L44" s="75">
        <v>-766</v>
      </c>
      <c r="M44" s="75">
        <v>-765</v>
      </c>
      <c r="N44" s="75">
        <v>-866</v>
      </c>
      <c r="O44" s="75">
        <f t="shared" si="20"/>
        <v>-921</v>
      </c>
      <c r="P44" s="75">
        <v>-3318</v>
      </c>
      <c r="Q44" s="75">
        <v>-799.29</v>
      </c>
      <c r="R44" s="75">
        <v>-807</v>
      </c>
      <c r="S44" s="75">
        <v>-814</v>
      </c>
      <c r="T44" s="75">
        <f t="shared" si="21"/>
        <v>-892.21639679859436</v>
      </c>
      <c r="U44" s="75">
        <v>-3312.5063967985943</v>
      </c>
      <c r="V44" s="75">
        <v>-812</v>
      </c>
      <c r="W44" s="75">
        <v>-821</v>
      </c>
      <c r="X44" s="75">
        <v>-1605</v>
      </c>
    </row>
    <row r="45" spans="1:24" x14ac:dyDescent="0.25">
      <c r="A45" s="38" t="s">
        <v>209</v>
      </c>
      <c r="B45" s="71"/>
      <c r="C45" s="23"/>
      <c r="D45" s="23"/>
      <c r="E45" s="75"/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-133</v>
      </c>
      <c r="W45" s="71">
        <v>-144</v>
      </c>
      <c r="X45" s="71">
        <v>-147</v>
      </c>
    </row>
    <row r="46" spans="1:24" x14ac:dyDescent="0.25">
      <c r="A46" s="38" t="s">
        <v>222</v>
      </c>
      <c r="B46" s="71"/>
      <c r="C46" s="23"/>
      <c r="D46" s="23"/>
      <c r="E46" s="75"/>
      <c r="F46" s="71">
        <v>0</v>
      </c>
      <c r="G46" s="71"/>
      <c r="H46" s="71"/>
      <c r="I46" s="71"/>
      <c r="J46" s="71"/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-187</v>
      </c>
    </row>
    <row r="47" spans="1:24" x14ac:dyDescent="0.25">
      <c r="A47" s="38" t="s">
        <v>111</v>
      </c>
      <c r="B47" s="75">
        <v>0</v>
      </c>
      <c r="C47" s="75">
        <v>0</v>
      </c>
      <c r="D47" s="75">
        <v>0</v>
      </c>
      <c r="E47" s="75">
        <f t="shared" ref="E47" si="24">+F47-SUM(B47:D47)</f>
        <v>141</v>
      </c>
      <c r="F47" s="75">
        <v>141</v>
      </c>
      <c r="G47" s="75">
        <v>22</v>
      </c>
      <c r="H47" s="75">
        <v>-145</v>
      </c>
      <c r="I47" s="75">
        <v>0</v>
      </c>
      <c r="J47" s="75">
        <f t="shared" ref="J47:J49" si="25">+ROUND(K47-SUM(G47:I47),0)</f>
        <v>-1</v>
      </c>
      <c r="K47" s="75">
        <v>-124</v>
      </c>
      <c r="L47" s="75">
        <v>0</v>
      </c>
      <c r="M47" s="75">
        <v>0</v>
      </c>
      <c r="N47" s="75">
        <v>0</v>
      </c>
      <c r="O47" s="75">
        <f t="shared" si="20"/>
        <v>0</v>
      </c>
      <c r="P47" s="75">
        <v>0</v>
      </c>
      <c r="Q47" s="75">
        <v>0</v>
      </c>
      <c r="R47" s="75">
        <v>0</v>
      </c>
      <c r="S47" s="75">
        <v>0</v>
      </c>
      <c r="T47" s="75">
        <f t="shared" si="21"/>
        <v>0</v>
      </c>
      <c r="U47" s="75">
        <v>0</v>
      </c>
      <c r="V47" s="75">
        <v>0</v>
      </c>
      <c r="W47" s="75">
        <v>0</v>
      </c>
      <c r="X47" s="75">
        <v>0</v>
      </c>
    </row>
    <row r="48" spans="1:24" ht="21" hidden="1" customHeight="1" x14ac:dyDescent="0.25">
      <c r="A48" s="38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</row>
    <row r="49" spans="1:24" x14ac:dyDescent="0.25">
      <c r="A49" s="100" t="s">
        <v>145</v>
      </c>
      <c r="B49" s="80">
        <v>0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75">
        <v>-429</v>
      </c>
      <c r="J49" s="75">
        <f t="shared" si="25"/>
        <v>65</v>
      </c>
      <c r="K49" s="80">
        <v>-364</v>
      </c>
      <c r="L49" s="75">
        <v>0</v>
      </c>
      <c r="M49" s="75">
        <v>0</v>
      </c>
      <c r="N49" s="75">
        <v>0</v>
      </c>
      <c r="O49" s="75">
        <f t="shared" si="20"/>
        <v>0</v>
      </c>
      <c r="P49" s="75">
        <v>0</v>
      </c>
      <c r="Q49" s="75">
        <v>0</v>
      </c>
      <c r="R49" s="75">
        <v>0</v>
      </c>
      <c r="S49" s="75">
        <v>0</v>
      </c>
      <c r="T49" s="75">
        <f t="shared" si="21"/>
        <v>0</v>
      </c>
      <c r="U49" s="75">
        <v>0</v>
      </c>
      <c r="V49" s="75">
        <v>0</v>
      </c>
      <c r="W49" s="75">
        <v>0</v>
      </c>
      <c r="X49" s="75">
        <v>0</v>
      </c>
    </row>
    <row r="50" spans="1:24" hidden="1" x14ac:dyDescent="0.25">
      <c r="A50" s="100" t="s">
        <v>198</v>
      </c>
      <c r="B50" s="80">
        <v>0</v>
      </c>
      <c r="C50" s="80">
        <v>0</v>
      </c>
      <c r="D50" s="80">
        <v>0</v>
      </c>
      <c r="E50" s="80">
        <v>0</v>
      </c>
      <c r="F50" s="80">
        <v>0</v>
      </c>
      <c r="G50" s="80">
        <v>0</v>
      </c>
      <c r="H50" s="80">
        <v>0</v>
      </c>
      <c r="I50" s="75">
        <v>0</v>
      </c>
      <c r="J50" s="75">
        <v>0</v>
      </c>
      <c r="K50" s="80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0</v>
      </c>
      <c r="S50" s="75">
        <v>0</v>
      </c>
      <c r="T50" s="75">
        <f t="shared" si="21"/>
        <v>0</v>
      </c>
      <c r="U50" s="75">
        <v>0</v>
      </c>
      <c r="V50" s="75">
        <v>0</v>
      </c>
      <c r="W50" s="75">
        <v>0</v>
      </c>
      <c r="X50" s="75">
        <v>0</v>
      </c>
    </row>
    <row r="51" spans="1:24" ht="25.5" hidden="1" customHeight="1" x14ac:dyDescent="0.25">
      <c r="A51" s="38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</row>
    <row r="52" spans="1:24" ht="13.5" customHeight="1" x14ac:dyDescent="0.3">
      <c r="A52" s="116" t="s">
        <v>65</v>
      </c>
      <c r="B52" s="117">
        <f t="shared" ref="B52:R52" si="26">SUM(B29:B51)</f>
        <v>48164</v>
      </c>
      <c r="C52" s="117">
        <f t="shared" si="26"/>
        <v>50633</v>
      </c>
      <c r="D52" s="117">
        <f t="shared" si="26"/>
        <v>52100</v>
      </c>
      <c r="E52" s="117">
        <f t="shared" si="26"/>
        <v>52637</v>
      </c>
      <c r="F52" s="117">
        <f t="shared" si="26"/>
        <v>203534</v>
      </c>
      <c r="G52" s="117">
        <f t="shared" si="26"/>
        <v>58967</v>
      </c>
      <c r="H52" s="117">
        <f t="shared" si="26"/>
        <v>61391</v>
      </c>
      <c r="I52" s="117">
        <f t="shared" si="26"/>
        <v>62760</v>
      </c>
      <c r="J52" s="117">
        <f t="shared" si="26"/>
        <v>57769</v>
      </c>
      <c r="K52" s="117">
        <f t="shared" si="26"/>
        <v>240887</v>
      </c>
      <c r="L52" s="117">
        <f t="shared" si="26"/>
        <v>63133</v>
      </c>
      <c r="M52" s="117">
        <f t="shared" si="26"/>
        <v>66199</v>
      </c>
      <c r="N52" s="117">
        <f t="shared" si="26"/>
        <v>71022</v>
      </c>
      <c r="O52" s="117">
        <f t="shared" si="26"/>
        <v>71345</v>
      </c>
      <c r="P52" s="117">
        <f t="shared" si="26"/>
        <v>271699</v>
      </c>
      <c r="Q52" s="117">
        <f t="shared" si="26"/>
        <v>79089.710000000006</v>
      </c>
      <c r="R52" s="117">
        <f t="shared" si="26"/>
        <v>79757</v>
      </c>
      <c r="S52" s="117">
        <f>ROUND(SUM(S29:S51),0)</f>
        <v>78010</v>
      </c>
      <c r="T52" s="117">
        <f>ROUND(SUM(T29:T51),0)</f>
        <v>80084</v>
      </c>
      <c r="U52" s="117">
        <f>ROUNDDOWN(SUM(U29:U51),0)</f>
        <v>316940</v>
      </c>
      <c r="V52" s="117">
        <f>SUM(V29:V51)</f>
        <v>90668</v>
      </c>
      <c r="W52" s="117">
        <f>SUM(W29:W51)</f>
        <v>90798</v>
      </c>
      <c r="X52" s="117">
        <f>SUM(X29:X51)</f>
        <v>94586</v>
      </c>
    </row>
    <row r="53" spans="1:24" ht="13" x14ac:dyDescent="0.3">
      <c r="A53" s="57" t="s">
        <v>66</v>
      </c>
      <c r="B53" s="54">
        <f>IF(B52/'Income Statement'!B8&lt;0, "NM",B52/'Income Statement'!B8)</f>
        <v>0.14630264149109379</v>
      </c>
      <c r="C53" s="54">
        <f>IF(C52/'Income Statement'!C8&lt;0, "NM",C52/'Income Statement'!C8)</f>
        <v>0.14600815497920885</v>
      </c>
      <c r="D53" s="54">
        <f>IF(D52/'Income Statement'!D8&lt;0, "NM",D52/'Income Statement'!D8)</f>
        <v>0.14418114243491784</v>
      </c>
      <c r="E53" s="54">
        <f>IF(E52/'Income Statement'!E8&lt;0, "NM",E52/'Income Statement'!E8)</f>
        <v>0.14047659079324157</v>
      </c>
      <c r="F53" s="54">
        <f>IF(F52/'Income Statement'!F8&lt;0, "NM",F52/'Income Statement'!F8)</f>
        <v>0.14414140069289624</v>
      </c>
      <c r="G53" s="54">
        <f>IF(G52/'Income Statement'!G8&lt;0, "NM",G52/'Income Statement'!G8)</f>
        <v>0.14718090669249181</v>
      </c>
      <c r="H53" s="54">
        <f>IF(H52/'Income Statement'!H8&lt;0, "NM",H52/'Income Statement'!H8)</f>
        <v>0.15158421317741411</v>
      </c>
      <c r="I53" s="54">
        <f>IF(I52/'Income Statement'!I8&lt;0, "NM",I52/'Income Statement'!I8)</f>
        <v>0.15271150519136387</v>
      </c>
      <c r="J53" s="54">
        <f>IF(J52/'Income Statement'!J8&lt;0, "NM",J52/'Income Statement'!J8)</f>
        <v>0.13951910118872235</v>
      </c>
      <c r="K53" s="54">
        <f>IF(K52/'Income Statement'!K8&lt;0, "NM",K52/'Income Statement'!K8)</f>
        <v>0.14772289638356795</v>
      </c>
      <c r="L53" s="54">
        <f>IF(L52/'Income Statement'!L8&lt;0, "NM",L52/'Income Statement'!L8)</f>
        <v>0.14463227393833317</v>
      </c>
      <c r="M53" s="54">
        <f>IF(M52/'Income Statement'!M8&lt;0, "NM",M52/'Income Statement'!M8)</f>
        <v>0.14764500430451907</v>
      </c>
      <c r="N53" s="54">
        <f>IF(N52/'Income Statement'!N8&lt;0, "NM",N52/'Income Statement'!N8)</f>
        <v>0.15044707068610153</v>
      </c>
      <c r="O53" s="54">
        <f>IF(O52/'Income Statement'!O8&lt;0, "NM",O52/'Income Statement'!O8)</f>
        <v>0.14819515356461846</v>
      </c>
      <c r="P53" s="54">
        <f>IF(P52/'Income Statement'!P8&lt;0, "NM",P52/'Income Statement'!P8)</f>
        <v>0.14779326491047515</v>
      </c>
      <c r="Q53" s="54">
        <f>IF(Q52/'Income Statement'!Q8&lt;0, "NM",Q52/'Income Statement'!Q8)</f>
        <v>0.15785770599518184</v>
      </c>
      <c r="R53" s="54">
        <f>IF(R52/'Income Statement'!R8&lt;0, "NM",R52/'Income Statement'!R8)</f>
        <v>0.15503051743575788</v>
      </c>
      <c r="S53" s="54">
        <f>IF(S52/'Income Statement'!S8&lt;0, "NM",S52/'Income Statement'!S8)</f>
        <v>0.14730402107310442</v>
      </c>
      <c r="T53" s="54">
        <f>IF(T52/'Income Statement'!T8&lt;0, "NM",T52/'Income Statement'!T8)</f>
        <v>0.14758899035227555</v>
      </c>
      <c r="U53" s="54">
        <f>IF(U52/'Income Statement'!U8&lt;0, "NM",U52/'Income Statement'!U8)</f>
        <v>0.15181452704175308</v>
      </c>
      <c r="V53" s="54">
        <f>IFERROR(IF(V52/'Income Statement'!V8&lt;0, "NM",V52/'Income Statement'!V8),0)</f>
        <v>0.15896877536815049</v>
      </c>
      <c r="W53" s="54">
        <f>IFERROR(IF(W52/'Income Statement'!W8&lt;0, "NM",W52/'Income Statement'!W8),0)</f>
        <v>0.15266248909229391</v>
      </c>
      <c r="X53" s="54">
        <f>IFERROR(IF(X52/'Income Statement'!X8&lt;0, "NM",X52/'Income Statement'!X8),0)</f>
        <v>0.14919892295874024</v>
      </c>
    </row>
    <row r="54" spans="1:24" ht="13" x14ac:dyDescent="0.3">
      <c r="A54" s="57"/>
    </row>
    <row r="55" spans="1:24" ht="13" x14ac:dyDescent="0.3">
      <c r="A55" s="126" t="s">
        <v>163</v>
      </c>
      <c r="B55" s="127">
        <f>(B52/'Income Statement'!B52)</f>
        <v>0.28419698596834914</v>
      </c>
      <c r="C55" s="127">
        <f>(C52/'Income Statement'!C52)</f>
        <v>0.29933255691592819</v>
      </c>
      <c r="D55" s="127">
        <f>(D52/'Income Statement'!D52)</f>
        <v>0.30848663915352686</v>
      </c>
      <c r="E55" s="127">
        <f>(E52/'Income Statement'!E52)</f>
        <v>0.31113567447111606</v>
      </c>
      <c r="F55" s="127">
        <f>(F52/'Income Statement'!F52)</f>
        <v>1.2031400552110612</v>
      </c>
      <c r="G55" s="127">
        <f>(G52/'Income Statement'!G52)</f>
        <v>0.34756597134217865</v>
      </c>
      <c r="H55" s="127">
        <f>(H52/'Income Statement'!H52)</f>
        <v>0.36446373232329227</v>
      </c>
      <c r="I55" s="127">
        <f>(I52/'Income Statement'!I52)</f>
        <v>0.37426649491913555</v>
      </c>
      <c r="J55" s="127">
        <f>(J52/'Income Statement'!J52)</f>
        <v>0.34616882688862122</v>
      </c>
      <c r="K55" s="127">
        <f>(K52/'Income Statement'!K52)</f>
        <v>1.4324783986774579</v>
      </c>
      <c r="L55" s="127">
        <f>(L52/'Income Statement'!L52)</f>
        <v>0.37866092474524221</v>
      </c>
      <c r="M55" s="127">
        <f>(M52/'Income Statement'!M52)</f>
        <v>0.40374598992449467</v>
      </c>
      <c r="N55" s="127">
        <f>(N52/'Income Statement'!N52)</f>
        <v>0.43521582469299214</v>
      </c>
      <c r="O55" s="127">
        <f>(O52/'Income Statement'!O52)</f>
        <v>0.43652906012714382</v>
      </c>
      <c r="P55" s="127">
        <f>(P52/'Income Statement'!P52)</f>
        <v>1.653454802156741</v>
      </c>
      <c r="Q55" s="127">
        <f>(Q52/'Income Statement'!Q52)</f>
        <v>0.48062197293339087</v>
      </c>
      <c r="R55" s="127">
        <f>(R52/'Income Statement'!R52)</f>
        <v>0.48575152412100392</v>
      </c>
      <c r="S55" s="127">
        <f>(S52/'Income Statement'!S52)</f>
        <v>0.48239484522057458</v>
      </c>
      <c r="T55" s="127">
        <f>(T52/'Income Statement'!T52)</f>
        <v>0.50204997680454377</v>
      </c>
      <c r="U55" s="127">
        <f>(U52/'Income Statement'!U52)</f>
        <v>1.9506160682414051</v>
      </c>
      <c r="V55" s="127">
        <f>IFERROR(V52/'Income Statement'!V52,0)</f>
        <v>0.57785652373425789</v>
      </c>
      <c r="W55" s="127">
        <f>IFERROR(W52/'Income Statement'!W52,0)</f>
        <v>0.59410332914572861</v>
      </c>
      <c r="X55" s="127">
        <f>IFERROR(X52/'Income Statement'!X52,0)</f>
        <v>0.61995149767319924</v>
      </c>
    </row>
    <row r="56" spans="1:24" ht="13" x14ac:dyDescent="0.3">
      <c r="A56" s="62" t="s">
        <v>170</v>
      </c>
      <c r="B56" s="52">
        <v>0.17355371900826433</v>
      </c>
      <c r="C56" s="52">
        <v>5.6338028169014231E-2</v>
      </c>
      <c r="D56" s="52">
        <v>2.6666666666666616E-2</v>
      </c>
      <c r="E56" s="52">
        <v>1.2987012987013102E-2</v>
      </c>
      <c r="F56" s="52" t="s">
        <v>41</v>
      </c>
      <c r="G56" s="52">
        <v>0.11538461538461542</v>
      </c>
      <c r="H56" s="52">
        <v>4.5977011494252817E-2</v>
      </c>
      <c r="I56" s="102">
        <f>I55/H55-1</f>
        <v>2.6896400729244263E-2</v>
      </c>
      <c r="J56" s="102">
        <f>J55/I55-1</f>
        <v>-7.5073960431817799E-2</v>
      </c>
      <c r="K56" s="52" t="s">
        <v>41</v>
      </c>
      <c r="L56" s="102">
        <f>L55/J55-1</f>
        <v>9.3861998345319497E-2</v>
      </c>
      <c r="M56" s="102">
        <f>M55/L55-1</f>
        <v>6.6246775254482193E-2</v>
      </c>
      <c r="N56" s="102">
        <f>N55/M55-1</f>
        <v>7.7944637355736202E-2</v>
      </c>
      <c r="O56" s="102">
        <f>O55/N55-1</f>
        <v>3.0174349360527764E-3</v>
      </c>
      <c r="P56" s="52" t="s">
        <v>41</v>
      </c>
      <c r="Q56" s="52">
        <f>Q55/O55-1</f>
        <v>0.10100796678554347</v>
      </c>
      <c r="R56" s="52">
        <f>R55/Q55-1</f>
        <v>1.0672735489611007E-2</v>
      </c>
      <c r="S56" s="52">
        <f>S55/R55-1</f>
        <v>-6.9102797083415712E-3</v>
      </c>
      <c r="T56" s="52">
        <f>T55/S55-1</f>
        <v>4.0744903845276292E-2</v>
      </c>
      <c r="U56" s="52" t="s">
        <v>41</v>
      </c>
      <c r="V56" s="52">
        <f>V55/T55-1</f>
        <v>0.15099402536020201</v>
      </c>
      <c r="W56" s="52">
        <f>W55/V55-1</f>
        <v>2.8115638993706726E-2</v>
      </c>
      <c r="X56" s="52">
        <f>X55/W55-1</f>
        <v>4.3507866829560093E-2</v>
      </c>
    </row>
    <row r="57" spans="1:24" ht="13" x14ac:dyDescent="0.3">
      <c r="A57" s="61" t="s">
        <v>171</v>
      </c>
      <c r="B57" s="26">
        <v>0.20338983050847448</v>
      </c>
      <c r="C57" s="26">
        <v>0.31578947368421062</v>
      </c>
      <c r="D57" s="26">
        <v>0.18461538461538463</v>
      </c>
      <c r="E57" s="26">
        <v>0.28925619834710758</v>
      </c>
      <c r="F57" s="26">
        <v>0.24637681159420288</v>
      </c>
      <c r="G57" s="26">
        <v>0.22535211267605648</v>
      </c>
      <c r="H57" s="26">
        <v>0.21333333333333337</v>
      </c>
      <c r="I57" s="25">
        <f t="shared" ref="I57:X57" si="27">I55/D55-1</f>
        <v>0.21323405106329907</v>
      </c>
      <c r="J57" s="25">
        <f t="shared" si="27"/>
        <v>0.11259767134404064</v>
      </c>
      <c r="K57" s="25">
        <f t="shared" si="27"/>
        <v>0.19061649761645172</v>
      </c>
      <c r="L57" s="25">
        <f t="shared" si="27"/>
        <v>8.9464895780751119E-2</v>
      </c>
      <c r="M57" s="25">
        <f t="shared" si="27"/>
        <v>0.10778097823560029</v>
      </c>
      <c r="N57" s="25">
        <f t="shared" si="27"/>
        <v>0.16285008303248039</v>
      </c>
      <c r="O57" s="25">
        <f t="shared" si="27"/>
        <v>0.26102937705478535</v>
      </c>
      <c r="P57" s="25">
        <f t="shared" si="27"/>
        <v>0.15426159562566566</v>
      </c>
      <c r="Q57" s="25">
        <f t="shared" si="27"/>
        <v>0.26926741452592884</v>
      </c>
      <c r="R57" s="25">
        <f t="shared" si="27"/>
        <v>0.20311169954120234</v>
      </c>
      <c r="S57" s="25">
        <f t="shared" si="27"/>
        <v>0.10840373408035719</v>
      </c>
      <c r="T57" s="25">
        <f t="shared" si="27"/>
        <v>0.15009520021030509</v>
      </c>
      <c r="U57" s="25">
        <f t="shared" si="27"/>
        <v>0.17972143278246944</v>
      </c>
      <c r="V57" s="25">
        <f t="shared" si="27"/>
        <v>0.20230983241863298</v>
      </c>
      <c r="W57" s="25">
        <f t="shared" si="27"/>
        <v>0.22306014421837106</v>
      </c>
      <c r="X57" s="25">
        <f t="shared" si="27"/>
        <v>0.28515365331013642</v>
      </c>
    </row>
    <row r="58" spans="1:24" ht="13" x14ac:dyDescent="0.3">
      <c r="A58" s="61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</row>
    <row r="59" spans="1:24" ht="11.25" customHeight="1" x14ac:dyDescent="0.3">
      <c r="A59" s="64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3" x14ac:dyDescent="0.3">
      <c r="A60" s="64"/>
    </row>
    <row r="61" spans="1:24" ht="13" x14ac:dyDescent="0.3">
      <c r="B61" s="102"/>
      <c r="C61" s="102"/>
      <c r="D61" s="102"/>
      <c r="E61" s="102"/>
      <c r="F61" s="103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82"/>
      <c r="R61" s="82"/>
      <c r="S61" s="82"/>
      <c r="T61" s="82"/>
      <c r="U61" s="82"/>
      <c r="V61" s="82"/>
      <c r="W61" s="82"/>
      <c r="X61" s="82"/>
    </row>
    <row r="62" spans="1:24" ht="13" x14ac:dyDescent="0.3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</row>
    <row r="63" spans="1:24" s="132" customFormat="1" ht="13" x14ac:dyDescent="0.3">
      <c r="A63" s="97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</row>
    <row r="64" spans="1:24" s="132" customFormat="1" ht="13" x14ac:dyDescent="0.3">
      <c r="A64" s="97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</row>
    <row r="65" spans="1:24" s="132" customFormat="1" ht="13" x14ac:dyDescent="0.3">
      <c r="A65" s="97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</row>
    <row r="66" spans="1:24" s="132" customFormat="1" ht="13" x14ac:dyDescent="0.3">
      <c r="A66" s="97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</row>
    <row r="67" spans="1:24" s="132" customFormat="1" ht="13" x14ac:dyDescent="0.3">
      <c r="A67" s="97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</row>
    <row r="68" spans="1:24" s="132" customFormat="1" ht="13" x14ac:dyDescent="0.3">
      <c r="A68" s="97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</row>
    <row r="69" spans="1:24" s="132" customFormat="1" ht="13" x14ac:dyDescent="0.3">
      <c r="A69" s="97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</row>
    <row r="70" spans="1:24" s="132" customForma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</row>
  </sheetData>
  <hyperlinks>
    <hyperlink ref="U1" location="Contents!B9" display="Back" xr:uid="{0402B40D-F76F-4008-9464-30B45680B555}"/>
  </hyperlinks>
  <pageMargins left="0.25" right="0" top="0.25" bottom="0" header="0.3" footer="0.3"/>
  <pageSetup paperSize="9" scale="59" orientation="landscape" r:id="rId1"/>
  <colBreaks count="1" manualBreakCount="1">
    <brk id="8" max="58" man="1"/>
  </colBreaks>
  <ignoredErrors>
    <ignoredError sqref="O33 O43:O44 O38 O47 O49 T13" formulaRange="1"/>
    <ignoredError sqref="O30:O32 O37 O13" formula="1" formulaRange="1"/>
    <ignoredError sqref="O14 O19 L19 G19 J27" 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92D050"/>
    <pageSetUpPr fitToPage="1"/>
  </sheetPr>
  <dimension ref="A1:GL34"/>
  <sheetViews>
    <sheetView showGridLines="0" view="pageBreakPreview" zoomScale="80" zoomScaleNormal="70" zoomScaleSheetLayoutView="80" workbookViewId="0">
      <pane xSplit="2" ySplit="4" topLeftCell="G5" activePane="bottomRight" state="frozen"/>
      <selection activeCell="B1" sqref="B1"/>
      <selection pane="topRight" activeCell="B1" sqref="B1"/>
      <selection pane="bottomLeft" activeCell="B1" sqref="B1"/>
      <selection pane="bottomRight" activeCell="AA10" sqref="AA10"/>
    </sheetView>
  </sheetViews>
  <sheetFormatPr defaultColWidth="9.1796875" defaultRowHeight="12.5" outlineLevelCol="1" x14ac:dyDescent="0.25"/>
  <cols>
    <col min="1" max="1" width="2.453125" style="5" customWidth="1"/>
    <col min="2" max="2" width="32.81640625" style="2" bestFit="1" customWidth="1"/>
    <col min="3" max="6" width="11.7265625" style="2" hidden="1" customWidth="1" outlineLevel="1"/>
    <col min="7" max="7" width="9.1796875" style="2" collapsed="1"/>
    <col min="8" max="11" width="9.1796875" style="2" hidden="1" customWidth="1" outlineLevel="1"/>
    <col min="12" max="12" width="9.1796875" style="2" collapsed="1"/>
    <col min="13" max="16" width="9.1796875" style="2" hidden="1" customWidth="1" outlineLevel="1"/>
    <col min="17" max="17" width="9.1796875" style="2" customWidth="1" collapsed="1"/>
    <col min="18" max="21" width="9.1796875" style="2" customWidth="1" outlineLevel="1"/>
    <col min="22" max="16384" width="9.1796875" style="2"/>
  </cols>
  <sheetData>
    <row r="1" spans="1:194" ht="13" x14ac:dyDescent="0.3"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V1" s="205" t="s">
        <v>162</v>
      </c>
      <c r="W1" s="206"/>
      <c r="X1" s="206"/>
      <c r="Y1" s="206"/>
    </row>
    <row r="2" spans="1:194" x14ac:dyDescent="0.25"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</row>
    <row r="3" spans="1:194" ht="23.25" customHeight="1" x14ac:dyDescent="0.25">
      <c r="C3" s="70">
        <v>2022</v>
      </c>
      <c r="D3" s="70">
        <v>2022</v>
      </c>
      <c r="E3" s="70">
        <v>2022</v>
      </c>
      <c r="F3" s="70">
        <v>2022</v>
      </c>
      <c r="G3" s="70">
        <v>2022</v>
      </c>
      <c r="H3" s="70">
        <v>2023</v>
      </c>
      <c r="I3" s="70">
        <v>2023</v>
      </c>
      <c r="J3" s="70">
        <v>2023</v>
      </c>
      <c r="K3" s="70">
        <v>2023</v>
      </c>
      <c r="L3" s="70">
        <v>2023</v>
      </c>
      <c r="M3" s="70">
        <v>2024</v>
      </c>
      <c r="N3" s="70">
        <v>2024</v>
      </c>
      <c r="O3" s="70">
        <v>2024</v>
      </c>
      <c r="P3" s="70">
        <v>2024</v>
      </c>
      <c r="Q3" s="70">
        <v>2024</v>
      </c>
      <c r="R3" s="70">
        <v>2025</v>
      </c>
      <c r="S3" s="70">
        <v>2025</v>
      </c>
      <c r="T3" s="70">
        <v>2025</v>
      </c>
      <c r="U3" s="70">
        <v>2025</v>
      </c>
      <c r="V3" s="70">
        <v>2025</v>
      </c>
      <c r="W3" s="70">
        <v>2026</v>
      </c>
      <c r="X3" s="70">
        <v>2026</v>
      </c>
      <c r="Y3" s="70">
        <v>2026</v>
      </c>
    </row>
    <row r="4" spans="1:194" ht="15.75" customHeight="1" x14ac:dyDescent="0.25">
      <c r="C4" s="70" t="s">
        <v>4</v>
      </c>
      <c r="D4" s="70" t="s">
        <v>5</v>
      </c>
      <c r="E4" s="70" t="s">
        <v>6</v>
      </c>
      <c r="F4" s="70" t="s">
        <v>7</v>
      </c>
      <c r="G4" s="70" t="s">
        <v>8</v>
      </c>
      <c r="H4" s="70" t="s">
        <v>4</v>
      </c>
      <c r="I4" s="70" t="s">
        <v>5</v>
      </c>
      <c r="J4" s="70" t="s">
        <v>6</v>
      </c>
      <c r="K4" s="70" t="s">
        <v>7</v>
      </c>
      <c r="L4" s="70" t="s">
        <v>8</v>
      </c>
      <c r="M4" s="70" t="s">
        <v>4</v>
      </c>
      <c r="N4" s="70" t="s">
        <v>5</v>
      </c>
      <c r="O4" s="70" t="s">
        <v>6</v>
      </c>
      <c r="P4" s="70" t="s">
        <v>7</v>
      </c>
      <c r="Q4" s="70" t="s">
        <v>8</v>
      </c>
      <c r="R4" s="70" t="s">
        <v>4</v>
      </c>
      <c r="S4" s="70" t="s">
        <v>5</v>
      </c>
      <c r="T4" s="70" t="s">
        <v>6</v>
      </c>
      <c r="U4" s="70" t="s">
        <v>7</v>
      </c>
      <c r="V4" s="70" t="s">
        <v>8</v>
      </c>
      <c r="W4" s="70" t="s">
        <v>4</v>
      </c>
      <c r="X4" s="70" t="s">
        <v>5</v>
      </c>
      <c r="Y4" s="70" t="s">
        <v>6</v>
      </c>
    </row>
    <row r="6" spans="1:194" s="46" customFormat="1" ht="13" x14ac:dyDescent="0.3">
      <c r="A6" s="128"/>
      <c r="B6" s="119" t="s">
        <v>0</v>
      </c>
      <c r="C6" s="125">
        <v>39110</v>
      </c>
      <c r="D6" s="125">
        <v>40617</v>
      </c>
      <c r="E6" s="125">
        <v>43111</v>
      </c>
      <c r="F6" s="125">
        <v>45420</v>
      </c>
      <c r="G6" s="125">
        <f>F6</f>
        <v>45420</v>
      </c>
      <c r="H6" s="125">
        <v>47796</v>
      </c>
      <c r="I6" s="125">
        <v>48831</v>
      </c>
      <c r="J6" s="125">
        <v>50450</v>
      </c>
      <c r="K6" s="125">
        <v>53951</v>
      </c>
      <c r="L6" s="125">
        <f>K6</f>
        <v>53951</v>
      </c>
      <c r="M6" s="125">
        <v>55062</v>
      </c>
      <c r="N6" s="125">
        <v>55942</v>
      </c>
      <c r="O6" s="125">
        <v>57436</v>
      </c>
      <c r="P6" s="125">
        <v>59500</v>
      </c>
      <c r="Q6" s="125">
        <f>P6</f>
        <v>59500</v>
      </c>
      <c r="R6" s="125">
        <v>60652</v>
      </c>
      <c r="S6" s="125">
        <v>61100</v>
      </c>
      <c r="T6" s="125">
        <v>63636</v>
      </c>
      <c r="U6" s="125">
        <v>65351</v>
      </c>
      <c r="V6" s="125">
        <v>65351</v>
      </c>
      <c r="W6" s="125">
        <v>67427</v>
      </c>
      <c r="X6" s="125">
        <v>68413</v>
      </c>
      <c r="Y6" s="125">
        <v>74107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</row>
    <row r="7" spans="1:194" s="1" customFormat="1" ht="13" x14ac:dyDescent="0.3">
      <c r="A7" s="161"/>
      <c r="B7" s="162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</row>
    <row r="8" spans="1:194" s="150" customFormat="1" ht="13" x14ac:dyDescent="0.3">
      <c r="A8" s="128"/>
      <c r="B8" s="130" t="s">
        <v>80</v>
      </c>
      <c r="C8" s="131">
        <v>0.34057937472275257</v>
      </c>
      <c r="D8" s="131">
        <v>0.37968018909629725</v>
      </c>
      <c r="E8" s="131">
        <v>0.34208603380353286</v>
      </c>
      <c r="F8" s="131">
        <v>0.24190978878072927</v>
      </c>
      <c r="G8" s="131">
        <v>0.31554772541370413</v>
      </c>
      <c r="H8" s="131">
        <v>0.255</v>
      </c>
      <c r="I8" s="131">
        <v>0.27300000000000002</v>
      </c>
      <c r="J8" s="131">
        <v>0.26944651220829302</v>
      </c>
      <c r="K8" s="131">
        <v>0.22695995453092543</v>
      </c>
      <c r="L8" s="131">
        <v>0.25781439922207866</v>
      </c>
      <c r="M8" s="131">
        <v>0.26200000000000001</v>
      </c>
      <c r="N8" s="131">
        <v>0.29532130564696091</v>
      </c>
      <c r="O8" s="131">
        <v>0.26998464202343075</v>
      </c>
      <c r="P8" s="131">
        <v>0.22310519793652825</v>
      </c>
      <c r="Q8" s="131">
        <v>0.26133396629480182</v>
      </c>
      <c r="R8" s="131">
        <v>0.2239582815662966</v>
      </c>
      <c r="S8" s="131">
        <v>0.2649678706384978</v>
      </c>
      <c r="T8" s="131">
        <v>0.24338208498435954</v>
      </c>
      <c r="U8" s="131">
        <v>0.20808770372095503</v>
      </c>
      <c r="V8" s="131">
        <v>0.23565640818369035</v>
      </c>
      <c r="W8" s="131">
        <v>0.23458008219128482</v>
      </c>
      <c r="X8" s="131">
        <v>0.24732080671142798</v>
      </c>
      <c r="Y8" s="131">
        <v>0.22336059047983001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</row>
    <row r="9" spans="1:194" s="1" customFormat="1" ht="13" x14ac:dyDescent="0.3">
      <c r="A9" s="161"/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 t="s">
        <v>211</v>
      </c>
      <c r="Y9" s="165" t="s">
        <v>211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</row>
    <row r="10" spans="1:194" s="47" customFormat="1" ht="13" x14ac:dyDescent="0.3">
      <c r="A10" s="128"/>
      <c r="B10" s="119" t="s">
        <v>103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</row>
    <row r="11" spans="1:194" ht="13" x14ac:dyDescent="0.3">
      <c r="A11" s="3"/>
      <c r="B11" s="50" t="s">
        <v>31</v>
      </c>
      <c r="C11" s="88">
        <v>8.0545732206175391E-2</v>
      </c>
      <c r="D11" s="88">
        <v>7.373476496833492E-2</v>
      </c>
      <c r="E11" s="88">
        <v>6.6654494331300676E-2</v>
      </c>
      <c r="F11" s="88">
        <v>6.7503964859730203E-2</v>
      </c>
      <c r="G11" s="88">
        <v>7.185738820838046E-2</v>
      </c>
      <c r="H11" s="88">
        <v>7.0908437780770286E-2</v>
      </c>
      <c r="I11" s="88">
        <v>6.9615094398895447E-2</v>
      </c>
      <c r="J11" s="88">
        <v>7.8091668497308905E-2</v>
      </c>
      <c r="K11" s="88">
        <v>7.8855065686714257E-2</v>
      </c>
      <c r="L11" s="88">
        <v>7.4415383272984026E-2</v>
      </c>
      <c r="M11" s="88">
        <v>7.785771667738392E-2</v>
      </c>
      <c r="N11" s="88">
        <v>7.8659448217442071E-2</v>
      </c>
      <c r="O11" s="88">
        <v>8.2000000000000003E-2</v>
      </c>
      <c r="P11" s="88">
        <v>8.5999999999999993E-2</v>
      </c>
      <c r="Q11" s="88">
        <v>8.1130225606386178E-2</v>
      </c>
      <c r="R11" s="88">
        <v>7.8E-2</v>
      </c>
      <c r="S11" s="88">
        <v>8.1000000000000003E-2</v>
      </c>
      <c r="T11" s="88">
        <v>8.8999999999999996E-2</v>
      </c>
      <c r="U11" s="88">
        <v>8.7746005873795177E-2</v>
      </c>
      <c r="V11" s="88">
        <v>8.4293691906222198E-2</v>
      </c>
      <c r="W11" s="88">
        <v>8.606992262343803E-2</v>
      </c>
      <c r="X11" s="88">
        <v>9.1331303115645579E-2</v>
      </c>
      <c r="Y11" s="88">
        <v>8.495978968322293E-2</v>
      </c>
    </row>
    <row r="12" spans="1:194" ht="13" x14ac:dyDescent="0.3">
      <c r="A12" s="3"/>
      <c r="B12" s="50" t="s">
        <v>28</v>
      </c>
      <c r="C12" s="88">
        <v>0.17278516058807039</v>
      </c>
      <c r="D12" s="88">
        <v>0.16869183068986821</v>
      </c>
      <c r="E12" s="88">
        <v>0.15346954938992724</v>
      </c>
      <c r="F12" s="88">
        <v>0.15854227778015331</v>
      </c>
      <c r="G12" s="88">
        <v>0.16305737552960911</v>
      </c>
      <c r="H12" s="88">
        <v>0.15588143026561296</v>
      </c>
      <c r="I12" s="88">
        <v>0.16250070580575421</v>
      </c>
      <c r="J12" s="88">
        <v>0.16722046255800513</v>
      </c>
      <c r="K12" s="88">
        <v>0.16818497037413888</v>
      </c>
      <c r="L12" s="88">
        <v>0.16350724464389876</v>
      </c>
      <c r="M12" s="88">
        <v>0.16489090563209613</v>
      </c>
      <c r="N12" s="88">
        <v>0.17102236759077949</v>
      </c>
      <c r="O12" s="88">
        <v>0.17699999999999999</v>
      </c>
      <c r="P12" s="88">
        <v>0.17699999999999999</v>
      </c>
      <c r="Q12" s="88">
        <v>0.17158242921062378</v>
      </c>
      <c r="R12" s="88">
        <v>0.16600000000000001</v>
      </c>
      <c r="S12" s="88">
        <v>0.183</v>
      </c>
      <c r="T12" s="88">
        <v>0.184</v>
      </c>
      <c r="U12" s="88">
        <v>0.18480844865166579</v>
      </c>
      <c r="V12" s="88">
        <v>0.17810677267030237</v>
      </c>
      <c r="W12" s="88">
        <v>0.18272543184812731</v>
      </c>
      <c r="X12" s="88">
        <v>0.18808105654663285</v>
      </c>
      <c r="Y12" s="88">
        <v>0.18441537560265744</v>
      </c>
    </row>
    <row r="13" spans="1:194" ht="13" x14ac:dyDescent="0.3">
      <c r="A13" s="3"/>
      <c r="B13" s="50" t="s">
        <v>29</v>
      </c>
      <c r="C13" s="88">
        <v>0.24162594438343749</v>
      </c>
      <c r="D13" s="88">
        <v>0.23810419909738464</v>
      </c>
      <c r="E13" s="88">
        <v>0.22274688856274488</v>
      </c>
      <c r="F13" s="88">
        <v>0.22632745544697888</v>
      </c>
      <c r="G13" s="88">
        <v>0.22868386638633081</v>
      </c>
      <c r="H13" s="88">
        <v>0.22440770703796106</v>
      </c>
      <c r="I13" s="88">
        <v>0.22723109463880042</v>
      </c>
      <c r="J13" s="88">
        <v>0.23395962509420576</v>
      </c>
      <c r="K13" s="88">
        <v>0.23198909883992508</v>
      </c>
      <c r="L13" s="88">
        <v>0.22944132292111202</v>
      </c>
      <c r="M13" s="88">
        <v>0.22821667844100751</v>
      </c>
      <c r="N13" s="88">
        <v>0.22949196987625539</v>
      </c>
      <c r="O13" s="88">
        <v>0.23400000000000001</v>
      </c>
      <c r="P13" s="88">
        <v>0.23100000000000001</v>
      </c>
      <c r="Q13" s="88">
        <v>0.2301588326740002</v>
      </c>
      <c r="R13" s="88">
        <v>0.23300000000000001</v>
      </c>
      <c r="S13" s="88">
        <v>0.23499999999999999</v>
      </c>
      <c r="T13" s="88">
        <v>0.24299999999999999</v>
      </c>
      <c r="U13" s="88">
        <v>0.24467543794177776</v>
      </c>
      <c r="V13" s="88">
        <v>0.23880256998736696</v>
      </c>
      <c r="W13" s="88">
        <v>0.24664313322646289</v>
      </c>
      <c r="X13" s="88">
        <v>0.24293942912021788</v>
      </c>
      <c r="Y13" s="88">
        <v>0.23528372456678454</v>
      </c>
    </row>
    <row r="14" spans="1:194" ht="13" x14ac:dyDescent="0.3">
      <c r="A14" s="3"/>
      <c r="B14" s="50" t="s">
        <v>30</v>
      </c>
      <c r="C14" s="88">
        <v>0.362362235076923</v>
      </c>
      <c r="D14" s="88">
        <v>0.36212131172504652</v>
      </c>
      <c r="E14" s="88">
        <v>0.34187408577290018</v>
      </c>
      <c r="F14" s="88">
        <v>0.3380918081110692</v>
      </c>
      <c r="G14" s="88">
        <v>0.34901761710985973</v>
      </c>
      <c r="H14" s="88">
        <v>0.34751782125228747</v>
      </c>
      <c r="I14" s="88">
        <v>0.33796241673065225</v>
      </c>
      <c r="J14" s="88">
        <v>0.34597982789781712</v>
      </c>
      <c r="K14" s="88">
        <v>0.34527151387314675</v>
      </c>
      <c r="L14" s="88">
        <v>0.34048363890672384</v>
      </c>
      <c r="M14" s="88">
        <v>0.33295603994573136</v>
      </c>
      <c r="N14" s="88">
        <v>0.33028520566529995</v>
      </c>
      <c r="O14" s="88">
        <v>0.34200000000000003</v>
      </c>
      <c r="P14" s="88">
        <v>0.33900000000000002</v>
      </c>
      <c r="Q14" s="88">
        <v>0.33177252597926515</v>
      </c>
      <c r="R14" s="88">
        <v>0.33700000000000002</v>
      </c>
      <c r="S14" s="88">
        <v>0.33500000000000002</v>
      </c>
      <c r="T14" s="88">
        <v>0.34499999999999997</v>
      </c>
      <c r="U14" s="88">
        <v>0.34661209744788524</v>
      </c>
      <c r="V14" s="88">
        <v>0.33952296878780541</v>
      </c>
      <c r="W14" s="88">
        <v>0.3460865985048836</v>
      </c>
      <c r="X14" s="88">
        <v>0.3413230925919129</v>
      </c>
      <c r="Y14" s="88">
        <v>0.33316200656790845</v>
      </c>
    </row>
    <row r="15" spans="1:194" ht="13" x14ac:dyDescent="0.3">
      <c r="A15" s="3"/>
    </row>
    <row r="16" spans="1:194" ht="13" x14ac:dyDescent="0.3">
      <c r="A16" s="175"/>
      <c r="B16" s="176" t="s">
        <v>71</v>
      </c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</row>
    <row r="17" spans="2:25" x14ac:dyDescent="0.25">
      <c r="B17" s="65" t="s">
        <v>70</v>
      </c>
      <c r="C17" s="85">
        <v>75.245833333333323</v>
      </c>
      <c r="D17" s="85">
        <v>77.677499999999995</v>
      </c>
      <c r="E17" s="85">
        <v>80.013333333333335</v>
      </c>
      <c r="F17" s="85">
        <v>82.30749999999999</v>
      </c>
      <c r="G17" s="87">
        <v>78.811041666666668</v>
      </c>
      <c r="H17" s="87">
        <v>82.25</v>
      </c>
      <c r="I17" s="87">
        <v>82.195000000000007</v>
      </c>
      <c r="J17" s="87">
        <v>82.69</v>
      </c>
      <c r="K17" s="87">
        <v>83.28416666666665</v>
      </c>
      <c r="L17" s="87">
        <v>82.604791666666657</v>
      </c>
      <c r="M17" s="87">
        <v>83.118333333333325</v>
      </c>
      <c r="N17" s="87">
        <v>83.423333333333332</v>
      </c>
      <c r="O17" s="87">
        <v>83.791666666666671</v>
      </c>
      <c r="P17" s="87">
        <v>84.724166666666676</v>
      </c>
      <c r="Q17" s="87">
        <v>83.764375000000001</v>
      </c>
      <c r="R17" s="87">
        <v>86.523333333333355</v>
      </c>
      <c r="S17" s="87">
        <v>85.273333333333326</v>
      </c>
      <c r="T17" s="87">
        <v>88.192499999999995</v>
      </c>
      <c r="U17" s="87">
        <v>89.364166666666662</v>
      </c>
      <c r="V17" s="87">
        <v>87.338333333333324</v>
      </c>
      <c r="W17" s="87">
        <v>92.595833333333317</v>
      </c>
      <c r="X17" s="87">
        <v>94.856666666666669</v>
      </c>
      <c r="Y17" s="87">
        <v>95.457499999999996</v>
      </c>
    </row>
    <row r="18" spans="2:25" ht="13" x14ac:dyDescent="0.3">
      <c r="B18" s="25" t="s">
        <v>72</v>
      </c>
      <c r="C18" s="78">
        <v>-6.1172642791877951E-3</v>
      </c>
      <c r="D18" s="78">
        <f>-(D17/C17-1)</f>
        <v>-3.2316296583421167E-2</v>
      </c>
      <c r="E18" s="78">
        <f>-(E17/D17-1)</f>
        <v>-3.0070912855503007E-2</v>
      </c>
      <c r="F18" s="78">
        <f>-(F17/E17-1)</f>
        <v>-2.8672304615897204E-2</v>
      </c>
      <c r="G18" s="89" t="s">
        <v>41</v>
      </c>
      <c r="H18" s="78">
        <f>-(H17/F17-1)</f>
        <v>6.9859976308339622E-4</v>
      </c>
      <c r="I18" s="78">
        <f>-(I17/H17-1)</f>
        <v>6.6869300911842622E-4</v>
      </c>
      <c r="J18" s="78">
        <f>-(J17/I17-1)</f>
        <v>-6.0222641279881195E-3</v>
      </c>
      <c r="K18" s="78">
        <f>-(K17/J17-1)</f>
        <v>-7.1854718426249686E-3</v>
      </c>
      <c r="L18" s="89" t="s">
        <v>41</v>
      </c>
      <c r="M18" s="78">
        <f>-(M17/K17-1)</f>
        <v>1.9911747931278256E-3</v>
      </c>
      <c r="N18" s="78">
        <f>-(N17/M17-1)</f>
        <v>-3.6694672254418137E-3</v>
      </c>
      <c r="O18" s="78">
        <f>-(O17/N17-1)</f>
        <v>-4.4152315499261796E-3</v>
      </c>
      <c r="P18" s="78">
        <f>-(P17/O17-1)</f>
        <v>-1.1128791645947267E-2</v>
      </c>
      <c r="Q18" s="89" t="s">
        <v>41</v>
      </c>
      <c r="R18" s="78">
        <f>-(R17/P17-1)</f>
        <v>-2.1235578199844785E-2</v>
      </c>
      <c r="S18" s="78">
        <f>-(S17/R17-1)</f>
        <v>1.4446969988827996E-2</v>
      </c>
      <c r="T18" s="78">
        <f>-(T17/S17-1)</f>
        <v>-3.4233054491439319E-2</v>
      </c>
      <c r="U18" s="78">
        <f>-(U17/T17-1)</f>
        <v>-1.3285332275042361E-2</v>
      </c>
      <c r="V18" s="89" t="s">
        <v>41</v>
      </c>
      <c r="W18" s="78">
        <f>-(W17/U17-1)</f>
        <v>-3.6162891539300634E-2</v>
      </c>
      <c r="X18" s="78">
        <f>-(X17/W17-1)</f>
        <v>-2.4416145434909886E-2</v>
      </c>
      <c r="Y18" s="78">
        <f>-(Y17/X17-1)</f>
        <v>-6.3341181431633142E-3</v>
      </c>
    </row>
    <row r="19" spans="2:25" ht="13" x14ac:dyDescent="0.3">
      <c r="B19" s="25" t="s">
        <v>73</v>
      </c>
      <c r="C19" s="79">
        <v>-2.8323159620990968E-2</v>
      </c>
      <c r="D19" s="79">
        <v>-5.4469558134799367E-2</v>
      </c>
      <c r="E19" s="79">
        <v>-8.302972195589664E-2</v>
      </c>
      <c r="F19" s="79">
        <v>-0.10053929980166232</v>
      </c>
      <c r="G19" s="79">
        <v>-6.6795071727292044E-2</v>
      </c>
      <c r="H19" s="79">
        <f>-(H17/C17-1)</f>
        <v>-9.3083780940251604E-2</v>
      </c>
      <c r="I19" s="79">
        <f t="shared" ref="I19:L19" si="0">-(I17/D17-1)</f>
        <v>-5.8157124006308347E-2</v>
      </c>
      <c r="J19" s="79">
        <f t="shared" si="0"/>
        <v>-3.3452757873687622E-2</v>
      </c>
      <c r="K19" s="79">
        <f t="shared" si="0"/>
        <v>-1.1866071338172857E-2</v>
      </c>
      <c r="L19" s="79">
        <f t="shared" si="0"/>
        <v>-4.8137290407171074E-2</v>
      </c>
      <c r="M19" s="79">
        <f>-(M17/H17-1)</f>
        <v>-1.0557244174265401E-2</v>
      </c>
      <c r="N19" s="79">
        <f>-(N17/I17-1)</f>
        <v>-1.4944136910193029E-2</v>
      </c>
      <c r="O19" s="79">
        <f>-(O17/J17-1)</f>
        <v>-1.332285242068787E-2</v>
      </c>
      <c r="P19" s="79">
        <f t="shared" ref="P19" si="1">-(P17/K17-1)</f>
        <v>-1.729020121871927E-2</v>
      </c>
      <c r="Q19" s="79">
        <f t="shared" ref="Q19:X19" si="2">-(Q17/L17-1)</f>
        <v>-1.4037724809144114E-2</v>
      </c>
      <c r="R19" s="79">
        <f t="shared" si="2"/>
        <v>-4.0965691484029065E-2</v>
      </c>
      <c r="S19" s="79">
        <f t="shared" si="2"/>
        <v>-2.217604986614452E-2</v>
      </c>
      <c r="T19" s="79">
        <f t="shared" si="2"/>
        <v>-5.2521133764296346E-2</v>
      </c>
      <c r="U19" s="79">
        <f t="shared" si="2"/>
        <v>-5.4765956191169307E-2</v>
      </c>
      <c r="V19" s="79">
        <f t="shared" si="2"/>
        <v>-4.2666805946242947E-2</v>
      </c>
      <c r="W19" s="79">
        <f t="shared" si="2"/>
        <v>-7.0183380205724344E-2</v>
      </c>
      <c r="X19" s="79">
        <f t="shared" si="2"/>
        <v>-0.11238370729419134</v>
      </c>
      <c r="Y19" s="79">
        <f>-(Y17/T17-1)</f>
        <v>-8.2376619327040324E-2</v>
      </c>
    </row>
    <row r="20" spans="2:25" ht="13" x14ac:dyDescent="0.3">
      <c r="B20" s="25"/>
    </row>
    <row r="21" spans="2:25" x14ac:dyDescent="0.25">
      <c r="B21" s="67" t="s">
        <v>193</v>
      </c>
      <c r="C21" s="85">
        <v>1.3318000000000001</v>
      </c>
      <c r="D21" s="85">
        <v>1.2416666666666665</v>
      </c>
      <c r="E21" s="85">
        <v>1.1623999999999999</v>
      </c>
      <c r="F21" s="85">
        <v>1.1877000000000002</v>
      </c>
      <c r="G21" s="87">
        <v>1.2308916666666667</v>
      </c>
      <c r="H21" s="87">
        <v>1.2261</v>
      </c>
      <c r="I21" s="87">
        <v>1.2528666666666666</v>
      </c>
      <c r="J21" s="87">
        <v>1.2577</v>
      </c>
      <c r="K21" s="87">
        <v>1.2513666666666665</v>
      </c>
      <c r="L21" s="87">
        <v>1.2470083333333333</v>
      </c>
      <c r="M21" s="87">
        <v>1.2652666666666665</v>
      </c>
      <c r="N21" s="87">
        <v>1.2634666666666667</v>
      </c>
      <c r="O21" s="87">
        <v>1.3126666666666666</v>
      </c>
      <c r="P21" s="87">
        <v>1.2752000000000001</v>
      </c>
      <c r="Q21" s="87">
        <v>1.2791499999999998</v>
      </c>
      <c r="R21" s="87">
        <v>1.2643333333333333</v>
      </c>
      <c r="S21" s="87">
        <v>1.3508000000000002</v>
      </c>
      <c r="T21" s="87">
        <v>1.3386000000000002</v>
      </c>
      <c r="U21" s="87">
        <v>1.3273999999999999</v>
      </c>
      <c r="V21" s="87">
        <v>1.3202833333333335</v>
      </c>
      <c r="W21" s="87">
        <v>1.3460000000000001</v>
      </c>
      <c r="X21" s="87">
        <v>1.3402666666666667</v>
      </c>
      <c r="Y21" s="87">
        <v>1.3419333333333334</v>
      </c>
    </row>
    <row r="22" spans="2:25" ht="13" x14ac:dyDescent="0.3">
      <c r="B22" s="25" t="s">
        <v>78</v>
      </c>
      <c r="C22" s="73">
        <v>1.3773696682464309E-2</v>
      </c>
      <c r="D22" s="78">
        <f>-(D21/C21-1)</f>
        <v>6.7677829503929754E-2</v>
      </c>
      <c r="E22" s="78">
        <f>-(E21/D21-1)</f>
        <v>6.3838926174496602E-2</v>
      </c>
      <c r="F22" s="78">
        <f>-(F21/E21-1)</f>
        <v>-2.1765313145217124E-2</v>
      </c>
      <c r="G22" s="89" t="s">
        <v>41</v>
      </c>
      <c r="H22" s="78">
        <f>-(H21/F21-1)</f>
        <v>-3.2331396817377955E-2</v>
      </c>
      <c r="I22" s="78">
        <f>-(I21/H21-1)</f>
        <v>-2.1830737025256175E-2</v>
      </c>
      <c r="J22" s="78">
        <f>-(J21/I21-1)</f>
        <v>-3.8578194008409561E-3</v>
      </c>
      <c r="K22" s="78">
        <f>-(K21/J21-1)</f>
        <v>5.0356470806499631E-3</v>
      </c>
      <c r="L22" s="89" t="s">
        <v>41</v>
      </c>
      <c r="M22" s="78">
        <f>-(M21/K21-1)</f>
        <v>-1.1107855411416789E-2</v>
      </c>
      <c r="N22" s="78">
        <f>-(N21/M21-1)</f>
        <v>1.4226250065860757E-3</v>
      </c>
      <c r="O22" s="78">
        <f>-(O21/N21-1)</f>
        <v>-3.8940481215702816E-2</v>
      </c>
      <c r="P22" s="78">
        <f>-(P21/O21-1)</f>
        <v>2.8542407313356888E-2</v>
      </c>
      <c r="Q22" s="89" t="s">
        <v>41</v>
      </c>
      <c r="R22" s="78">
        <f>-(R21/P21-1)</f>
        <v>8.521539104977105E-3</v>
      </c>
      <c r="S22" s="78">
        <f>-(S21/R21-1)</f>
        <v>-6.8389137885578988E-2</v>
      </c>
      <c r="T22" s="78">
        <f>-(T21/S21-1)</f>
        <v>9.0316849274504341E-3</v>
      </c>
      <c r="U22" s="78">
        <f>-(U21/T21-1)</f>
        <v>8.3669505453460857E-3</v>
      </c>
      <c r="V22" s="89" t="s">
        <v>41</v>
      </c>
      <c r="W22" s="78">
        <f>-(W21/U21-1)</f>
        <v>-1.401235497965958E-2</v>
      </c>
      <c r="X22" s="78">
        <f>-(X21/W21-1)</f>
        <v>4.259534422981659E-3</v>
      </c>
      <c r="Y22" s="78">
        <f>-(Y21/X21-1)</f>
        <v>-1.2435336251492846E-3</v>
      </c>
    </row>
    <row r="23" spans="2:25" ht="13" x14ac:dyDescent="0.3">
      <c r="B23" s="25" t="s">
        <v>79</v>
      </c>
      <c r="C23" s="53">
        <v>3.5300367007919498E-2</v>
      </c>
      <c r="D23" s="79">
        <v>0.1121016375467786</v>
      </c>
      <c r="E23" s="79">
        <v>0.1521929398035593</v>
      </c>
      <c r="F23" s="79">
        <v>0.12048281990521303</v>
      </c>
      <c r="G23" s="79">
        <v>0.10487658548114387</v>
      </c>
      <c r="H23" s="79">
        <f>-(H21/C21-1)</f>
        <v>7.9366271211893769E-2</v>
      </c>
      <c r="I23" s="79">
        <f t="shared" ref="I23:L23" si="3">-(I21/D21-1)</f>
        <v>-9.020134228187926E-3</v>
      </c>
      <c r="J23" s="79">
        <f t="shared" si="3"/>
        <v>-8.1985547143840432E-2</v>
      </c>
      <c r="K23" s="79">
        <f t="shared" si="3"/>
        <v>-5.3605006876034533E-2</v>
      </c>
      <c r="L23" s="79">
        <f t="shared" si="3"/>
        <v>-1.309348913727848E-2</v>
      </c>
      <c r="M23" s="79">
        <f>-(M21/H21-1)</f>
        <v>-3.1944104613544244E-2</v>
      </c>
      <c r="N23" s="79">
        <f>-(N21/I21-1)</f>
        <v>-8.4605970308093692E-3</v>
      </c>
      <c r="O23" s="79">
        <f>-(O21/J21-1)</f>
        <v>-4.3704115978903335E-2</v>
      </c>
      <c r="P23" s="79">
        <f t="shared" ref="P23" si="4">-(P21/K21-1)</f>
        <v>-1.9045843211422442E-2</v>
      </c>
      <c r="Q23" s="79">
        <f t="shared" ref="Q23:T23" si="5">-(Q21/L21-1)</f>
        <v>-2.5775021551579957E-2</v>
      </c>
      <c r="R23" s="79">
        <f t="shared" si="5"/>
        <v>7.376574108224343E-4</v>
      </c>
      <c r="S23" s="79">
        <f t="shared" si="5"/>
        <v>-6.9121992401857346E-2</v>
      </c>
      <c r="T23" s="79">
        <f t="shared" si="5"/>
        <v>-1.975622143219935E-2</v>
      </c>
      <c r="U23" s="79">
        <f t="shared" ref="U23" si="6">-(U21/P21-1)</f>
        <v>-4.0934755332496797E-2</v>
      </c>
      <c r="V23" s="79">
        <f t="shared" ref="V23:Y23" si="7">-(V21/Q21-1)</f>
        <v>-3.215677077225787E-2</v>
      </c>
      <c r="W23" s="79">
        <f t="shared" si="7"/>
        <v>-6.4592670709201272E-2</v>
      </c>
      <c r="X23" s="79">
        <f t="shared" si="7"/>
        <v>7.7978481887277518E-3</v>
      </c>
      <c r="Y23" s="79">
        <f t="shared" si="7"/>
        <v>-2.4901638527814463E-3</v>
      </c>
    </row>
    <row r="24" spans="2:25" ht="13" x14ac:dyDescent="0.3">
      <c r="B24" s="66"/>
    </row>
    <row r="25" spans="2:25" x14ac:dyDescent="0.25">
      <c r="B25" s="65" t="s">
        <v>69</v>
      </c>
      <c r="C25" s="85">
        <v>51.32</v>
      </c>
      <c r="D25" s="85">
        <v>53.178333333333335</v>
      </c>
      <c r="E25" s="85">
        <v>56.633333333333333</v>
      </c>
      <c r="F25" s="85">
        <v>56.761666666666663</v>
      </c>
      <c r="G25" s="87">
        <v>54.473333333333336</v>
      </c>
      <c r="H25" s="87">
        <v>54.776666666666664</v>
      </c>
      <c r="I25" s="87">
        <v>55.576666666666675</v>
      </c>
      <c r="J25" s="87">
        <v>56.016666666666673</v>
      </c>
      <c r="K25" s="87">
        <v>55.861666666666672</v>
      </c>
      <c r="L25" s="87">
        <v>55.557916666666664</v>
      </c>
      <c r="M25" s="87">
        <v>56.241666666666667</v>
      </c>
      <c r="N25" s="87">
        <v>58.293333333333329</v>
      </c>
      <c r="O25" s="87">
        <v>56.835333333333331</v>
      </c>
      <c r="P25" s="87">
        <v>58.188333333333333</v>
      </c>
      <c r="Q25" s="87">
        <v>57.38966666666667</v>
      </c>
      <c r="R25" s="87">
        <v>57.856666666666662</v>
      </c>
      <c r="S25" s="87">
        <v>55.971666666666671</v>
      </c>
      <c r="T25" s="87">
        <v>57.882000000000005</v>
      </c>
      <c r="U25" s="87">
        <v>58.761666666666663</v>
      </c>
      <c r="V25" s="87">
        <v>57.618000000000002</v>
      </c>
      <c r="W25" s="87">
        <v>59.091000000000001</v>
      </c>
      <c r="X25" s="87">
        <v>61.478333333333332</v>
      </c>
      <c r="Y25" s="87">
        <v>62.048333333333325</v>
      </c>
    </row>
    <row r="26" spans="2:25" ht="13" x14ac:dyDescent="0.3">
      <c r="B26" s="25" t="s">
        <v>72</v>
      </c>
      <c r="C26" s="73">
        <v>-1.4202524307659781E-2</v>
      </c>
      <c r="D26" s="78">
        <f>-(D25/C25-1)</f>
        <v>-3.6210704078981637E-2</v>
      </c>
      <c r="E26" s="78">
        <f>-(E25/D25-1)</f>
        <v>-6.4970069263797781E-2</v>
      </c>
      <c r="F26" s="78">
        <f>-(F25/E25-1)</f>
        <v>-2.2660388463802139E-3</v>
      </c>
      <c r="G26" s="89" t="s">
        <v>41</v>
      </c>
      <c r="H26" s="78">
        <f>-(H25/F25-1)</f>
        <v>3.4970784273423927E-2</v>
      </c>
      <c r="I26" s="78">
        <f>-(I25/H25-1)</f>
        <v>-1.460475871721556E-2</v>
      </c>
      <c r="J26" s="78">
        <f>-(J25/I25-1)</f>
        <v>-7.9169915432135696E-3</v>
      </c>
      <c r="K26" s="78">
        <f>-(K25/J25-1)</f>
        <v>2.7670336209462132E-3</v>
      </c>
      <c r="L26" s="89" t="s">
        <v>41</v>
      </c>
      <c r="M26" s="78">
        <f>-(M25/K25-1)</f>
        <v>-6.8025181251305522E-3</v>
      </c>
      <c r="N26" s="78">
        <f>-(N25/M25-1)</f>
        <v>-3.6479478441250546E-2</v>
      </c>
      <c r="O26" s="78">
        <f>-(O25/N25-1)</f>
        <v>2.5011436413540644E-2</v>
      </c>
      <c r="P26" s="78">
        <f>-(P25/O25-1)</f>
        <v>-2.3805613878690624E-2</v>
      </c>
      <c r="Q26" s="89" t="s">
        <v>41</v>
      </c>
      <c r="R26" s="78">
        <f>-(R25/P25-1)</f>
        <v>5.6998825652336826E-3</v>
      </c>
      <c r="S26" s="78">
        <f>-(S25/R25-1)</f>
        <v>3.2580515065967486E-2</v>
      </c>
      <c r="T26" s="78">
        <f>-(T25/S25-1)</f>
        <v>-3.4130363576809764E-2</v>
      </c>
      <c r="U26" s="78">
        <f>-(U25/T25-1)</f>
        <v>-1.5197585893138799E-2</v>
      </c>
      <c r="V26" s="89" t="s">
        <v>41</v>
      </c>
      <c r="W26" s="78">
        <f>-(W25/U25-1)</f>
        <v>-5.6045607964376742E-3</v>
      </c>
      <c r="X26" s="78">
        <f>-(X25/W25-1)</f>
        <v>-4.0400963485697217E-2</v>
      </c>
      <c r="Y26" s="78">
        <f>-(Y25/X25-1)</f>
        <v>-9.2715590858567509E-3</v>
      </c>
    </row>
    <row r="27" spans="2:25" ht="13" x14ac:dyDescent="0.3">
      <c r="B27" s="25" t="s">
        <v>73</v>
      </c>
      <c r="C27" s="53">
        <v>-6.0622761091209787E-2</v>
      </c>
      <c r="D27" s="79">
        <v>-0.10332307479511749</v>
      </c>
      <c r="E27" s="79">
        <v>-0.12718105221256559</v>
      </c>
      <c r="F27" s="79">
        <v>-0.12174251007878567</v>
      </c>
      <c r="G27" s="79">
        <v>-0.10365041390267238</v>
      </c>
      <c r="H27" s="79">
        <f>-(H25/C25-1)</f>
        <v>-6.73551571836839E-2</v>
      </c>
      <c r="I27" s="79">
        <f t="shared" ref="I27:L27" si="8">-(I25/D25-1)</f>
        <v>-4.5099821355815584E-2</v>
      </c>
      <c r="J27" s="79">
        <f t="shared" si="8"/>
        <v>1.0888758092995721E-2</v>
      </c>
      <c r="K27" s="79">
        <f t="shared" si="8"/>
        <v>1.5855771207093805E-2</v>
      </c>
      <c r="L27" s="79">
        <f t="shared" si="8"/>
        <v>-1.9910353689878812E-2</v>
      </c>
      <c r="M27" s="79">
        <f>-(M25/H25-1)</f>
        <v>-2.6744964400900795E-2</v>
      </c>
      <c r="N27" s="79">
        <f>-(N25/I25-1)</f>
        <v>-4.8881425058477479E-2</v>
      </c>
      <c r="O27" s="79">
        <f>-(O25/J25-1)</f>
        <v>-1.4614698006545579E-2</v>
      </c>
      <c r="P27" s="79">
        <f t="shared" ref="P27" si="9">-(P25/K25-1)</f>
        <v>-4.165050571351836E-2</v>
      </c>
      <c r="Q27" s="79">
        <f t="shared" ref="Q27:T27" si="10">-(Q25/L25-1)</f>
        <v>-3.297009877080237E-2</v>
      </c>
      <c r="R27" s="79">
        <f t="shared" si="10"/>
        <v>-2.8715365239294632E-2</v>
      </c>
      <c r="S27" s="79">
        <f t="shared" si="10"/>
        <v>3.9827310155535089E-2</v>
      </c>
      <c r="T27" s="79">
        <f t="shared" si="10"/>
        <v>-1.8415774224953996E-2</v>
      </c>
      <c r="U27" s="79">
        <f t="shared" ref="U27" si="11">-(U25/P25-1)</f>
        <v>-9.8530633288458347E-3</v>
      </c>
      <c r="V27" s="79">
        <f t="shared" ref="V27:Y27" si="12">-(V25/Q25-1)</f>
        <v>-3.9786488856878854E-3</v>
      </c>
      <c r="W27" s="79">
        <f t="shared" si="12"/>
        <v>-2.1334331969810494E-2</v>
      </c>
      <c r="X27" s="79">
        <f t="shared" si="12"/>
        <v>-9.838311050233739E-2</v>
      </c>
      <c r="Y27" s="79">
        <f t="shared" si="12"/>
        <v>-7.1979774944426866E-2</v>
      </c>
    </row>
    <row r="28" spans="2:25" ht="13" x14ac:dyDescent="0.3">
      <c r="B28" s="25"/>
      <c r="C28" s="53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</row>
    <row r="29" spans="2:25" x14ac:dyDescent="0.25">
      <c r="B29" s="65" t="s">
        <v>172</v>
      </c>
      <c r="C29" s="24">
        <v>15.1533</v>
      </c>
      <c r="D29" s="24">
        <v>15.936366666666666</v>
      </c>
      <c r="E29" s="24">
        <v>17.213466666666665</v>
      </c>
      <c r="F29" s="24">
        <v>17.443733333333338</v>
      </c>
      <c r="G29" s="24">
        <v>16.436716666666662</v>
      </c>
      <c r="H29" s="24">
        <v>17.895766666666663</v>
      </c>
      <c r="I29" s="24">
        <v>19.023666666666667</v>
      </c>
      <c r="J29" s="24">
        <v>18.488166666666668</v>
      </c>
      <c r="K29" s="24">
        <v>18.630333333333336</v>
      </c>
      <c r="L29" s="24">
        <v>18.509483333333332</v>
      </c>
      <c r="M29" s="24">
        <v>18.956266666666668</v>
      </c>
      <c r="N29" s="24">
        <v>18.531866666666669</v>
      </c>
      <c r="O29" s="24">
        <v>17.736000000000001</v>
      </c>
      <c r="P29" s="24">
        <v>18.182400000000001</v>
      </c>
      <c r="Q29" s="24">
        <v>18.351633333333336</v>
      </c>
      <c r="R29" s="94">
        <v>18.485200000000003</v>
      </c>
      <c r="S29" s="94">
        <v>18.116333333333333</v>
      </c>
      <c r="T29" s="94">
        <v>17.677466666666664</v>
      </c>
      <c r="U29" s="94">
        <v>17.001533333333334</v>
      </c>
      <c r="V29" s="94">
        <v>17.820133333333334</v>
      </c>
      <c r="W29" s="94">
        <v>16.387233333333331</v>
      </c>
      <c r="X29" s="94">
        <v>16.440133333333332</v>
      </c>
      <c r="Y29" s="94">
        <v>16.3429</v>
      </c>
    </row>
    <row r="30" spans="2:25" ht="13" x14ac:dyDescent="0.3">
      <c r="B30" s="25" t="s">
        <v>72</v>
      </c>
      <c r="C30" s="73">
        <v>3.7468107856318711E-2</v>
      </c>
      <c r="D30" s="78">
        <f>-(D29/C29-1)</f>
        <v>-5.167631253038385E-2</v>
      </c>
      <c r="E30" s="78">
        <f>-(E29/D29-1)</f>
        <v>-8.0137463369944095E-2</v>
      </c>
      <c r="F30" s="78">
        <f>-(F29/E29-1)</f>
        <v>-1.3377123337542152E-2</v>
      </c>
      <c r="G30" s="89" t="s">
        <v>41</v>
      </c>
      <c r="H30" s="73">
        <f>-(H29/F29-1)</f>
        <v>-2.591379521203363E-2</v>
      </c>
      <c r="I30" s="78">
        <f>-(I29/H29-1)</f>
        <v>-6.3026078793308793E-2</v>
      </c>
      <c r="J30" s="78">
        <f>-(J29/I29-1)</f>
        <v>2.8149147553047871E-2</v>
      </c>
      <c r="K30" s="78">
        <f>-(K29/J29-1)</f>
        <v>-7.6896032597428832E-3</v>
      </c>
      <c r="L30" s="89" t="s">
        <v>41</v>
      </c>
      <c r="M30" s="73">
        <f>-(M29/K29-1)</f>
        <v>-1.7494766599273515E-2</v>
      </c>
      <c r="N30" s="78">
        <f>-(N29/M29-1)</f>
        <v>2.2388374644796372E-2</v>
      </c>
      <c r="O30" s="78">
        <f>-(O29/N29-1)</f>
        <v>4.2945844635187025E-2</v>
      </c>
      <c r="P30" s="78">
        <f>-(P29/O29-1)</f>
        <v>-2.5169147496617139E-2</v>
      </c>
      <c r="Q30" s="89" t="s">
        <v>41</v>
      </c>
      <c r="R30" s="73">
        <f>-(R29/P29-1)</f>
        <v>-1.6653467089053242E-2</v>
      </c>
      <c r="S30" s="73">
        <f>-(S29/R29-1)</f>
        <v>1.9954702500739496E-2</v>
      </c>
      <c r="T30" s="73">
        <f>-(T29/S29-1)</f>
        <v>2.4224916741798497E-2</v>
      </c>
      <c r="U30" s="78">
        <f>-(U29/T29-1)</f>
        <v>3.8237002285395172E-2</v>
      </c>
      <c r="V30" s="89" t="s">
        <v>41</v>
      </c>
      <c r="W30" s="73">
        <f>-(W29/U29-1)</f>
        <v>3.6132035149771036E-2</v>
      </c>
      <c r="X30" s="73">
        <f>-(X29/W29-1)</f>
        <v>-3.2281227052768369E-3</v>
      </c>
      <c r="Y30" s="73">
        <f>-(Y29/X29-1)</f>
        <v>5.9143883666797903E-3</v>
      </c>
    </row>
    <row r="31" spans="2:25" ht="13" x14ac:dyDescent="0.3">
      <c r="B31" s="25" t="s">
        <v>73</v>
      </c>
      <c r="C31" s="53">
        <v>-8.9979913216216012E-3</v>
      </c>
      <c r="D31" s="79">
        <v>-0.12616540644948548</v>
      </c>
      <c r="E31" s="79">
        <v>-0.16623456399786796</v>
      </c>
      <c r="F31" s="79">
        <v>-0.1080193523115851</v>
      </c>
      <c r="G31" s="79">
        <v>-0.10180061513848404</v>
      </c>
      <c r="H31" s="79">
        <f>-(H29/C29-1)</f>
        <v>-0.18098148038161077</v>
      </c>
      <c r="I31" s="79">
        <f t="shared" ref="I31" si="13">-(I29/D29-1)</f>
        <v>-0.1937267172985897</v>
      </c>
      <c r="J31" s="79">
        <f t="shared" ref="J31" si="14">-(J29/E29-1)</f>
        <v>-7.4052486038063359E-2</v>
      </c>
      <c r="K31" s="79">
        <f t="shared" ref="K31" si="15">-(K29/F29-1)</f>
        <v>-6.802442902131034E-2</v>
      </c>
      <c r="L31" s="79">
        <f t="shared" ref="L31" si="16">-(L29/G29-1)</f>
        <v>-0.12610588286590096</v>
      </c>
      <c r="M31" s="79">
        <f>-(M29/H29-1)</f>
        <v>-5.9259824949289941E-2</v>
      </c>
      <c r="N31" s="79">
        <f>-(N29/I29-1)</f>
        <v>2.5852008901193102E-2</v>
      </c>
      <c r="O31" s="79">
        <f>-(O29/J29-1)</f>
        <v>4.0683680552425439E-2</v>
      </c>
      <c r="P31" s="79">
        <f t="shared" ref="P31" si="17">-(P29/K29-1)</f>
        <v>2.4043226995401845E-2</v>
      </c>
      <c r="Q31" s="79">
        <f t="shared" ref="Q31" si="18">-(Q29/L29-1)</f>
        <v>8.5280608408840886E-3</v>
      </c>
      <c r="R31" s="79">
        <f t="shared" ref="R31:T31" si="19">-(R29/M29-1)</f>
        <v>2.4850181470331689E-2</v>
      </c>
      <c r="S31" s="79">
        <f t="shared" si="19"/>
        <v>2.2422637762700814E-2</v>
      </c>
      <c r="T31" s="79">
        <f t="shared" si="19"/>
        <v>3.3002556006617167E-3</v>
      </c>
      <c r="U31" s="79">
        <f t="shared" ref="U31" si="20">-(U29/P29-1)</f>
        <v>6.4945588407837596E-2</v>
      </c>
      <c r="V31" s="79">
        <f t="shared" ref="V31:Y31" si="21">-(V29/Q29-1)</f>
        <v>2.8961999749341216E-2</v>
      </c>
      <c r="W31" s="79">
        <f t="shared" si="21"/>
        <v>0.11349439912290216</v>
      </c>
      <c r="X31" s="79">
        <f t="shared" si="21"/>
        <v>9.2524241476384161E-2</v>
      </c>
      <c r="Y31" s="79">
        <f t="shared" si="21"/>
        <v>7.5495357555003917E-2</v>
      </c>
    </row>
    <row r="34" spans="5:5" x14ac:dyDescent="0.25">
      <c r="E34" s="98"/>
    </row>
  </sheetData>
  <customSheetViews>
    <customSheetView guid="{168DC811-186D-42DC-8A72-3741D1063270}" scale="80" showGridLines="0" hiddenRows="1">
      <pane xSplit="2" ySplit="4" topLeftCell="C5" activePane="bottomRight" state="frozen"/>
      <selection pane="bottomRight" activeCell="A7" sqref="A7"/>
      <pageMargins left="0.45" right="0.45" top="0.75" bottom="0.75" header="0.3" footer="0.3"/>
      <printOptions horizontalCentered="1"/>
      <pageSetup scale="65" orientation="landscape" horizontalDpi="300" verticalDpi="300" r:id="rId1"/>
    </customSheetView>
  </customSheetViews>
  <phoneticPr fontId="0" type="noConversion"/>
  <hyperlinks>
    <hyperlink ref="V1" location="Contents!B10" display="Back" xr:uid="{AC58B90F-B0A6-4600-B434-39C22E59D4C6}"/>
  </hyperlinks>
  <pageMargins left="0.25" right="0.25" top="0.5" bottom="0.25" header="0.3" footer="0.3"/>
  <pageSetup paperSize="9" scale="84" fitToHeight="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149212BDADD429E2028B87BF5C05A" ma:contentTypeVersion="6" ma:contentTypeDescription="Create a new document." ma:contentTypeScope="" ma:versionID="501f1ab82fc7b20178d7cb385b7f3773">
  <xsd:schema xmlns:xsd="http://www.w3.org/2001/XMLSchema" xmlns:xs="http://www.w3.org/2001/XMLSchema" xmlns:p="http://schemas.microsoft.com/office/2006/metadata/properties" xmlns:ns2="4da3ad68-5083-4f56-a2f3-b749011fc705" xmlns:ns3="8cf0e1d4-898c-4bee-a6ca-2316e1a8d012" targetNamespace="http://schemas.microsoft.com/office/2006/metadata/properties" ma:root="true" ma:fieldsID="e9a8129baa2750c2ce34417e35e21ce7" ns2:_="" ns3:_="">
    <xsd:import namespace="4da3ad68-5083-4f56-a2f3-b749011fc705"/>
    <xsd:import namespace="8cf0e1d4-898c-4bee-a6ca-2316e1a8d0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a3ad68-5083-4f56-a2f3-b749011fc7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0e1d4-898c-4bee-a6ca-2316e1a8d0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207309-46AD-44ED-8E10-2BE9C626A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a3ad68-5083-4f56-a2f3-b749011fc705"/>
    <ds:schemaRef ds:uri="8cf0e1d4-898c-4bee-a6ca-2316e1a8d0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58B2EC-AC39-454F-B2BC-53BD4AAFD493}">
  <ds:schemaRefs>
    <ds:schemaRef ds:uri="8cf0e1d4-898c-4bee-a6ca-2316e1a8d012"/>
    <ds:schemaRef ds:uri="http://schemas.microsoft.com/office/2006/documentManagement/types"/>
    <ds:schemaRef ds:uri="http://schemas.microsoft.com/office/2006/metadata/properties"/>
    <ds:schemaRef ds:uri="4da3ad68-5083-4f56-a2f3-b749011fc705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1806436-7B25-412B-8A00-61862926F5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Contents</vt:lpstr>
      <vt:lpstr>Income Statement</vt:lpstr>
      <vt:lpstr>Balance Sheet</vt:lpstr>
      <vt:lpstr>Cashflow</vt:lpstr>
      <vt:lpstr>Revenue &amp; Margin (till 2024)</vt:lpstr>
      <vt:lpstr>Revenue &amp; Margin (eff. 2025)</vt:lpstr>
      <vt:lpstr>Non-GAAP</vt:lpstr>
      <vt:lpstr>Other Metrics</vt:lpstr>
      <vt:lpstr>'Balance Sheet'!Print_Area</vt:lpstr>
      <vt:lpstr>Cashflow!Print_Area</vt:lpstr>
      <vt:lpstr>'Income Statement'!Print_Area</vt:lpstr>
      <vt:lpstr>'Non-GAAP'!Print_Area</vt:lpstr>
      <vt:lpstr>'Other Metrics'!Print_Area</vt:lpstr>
      <vt:lpstr>'Revenue &amp; Margin (eff. 2025)'!Print_Area</vt:lpstr>
      <vt:lpstr>'Revenue &amp; Margin (till 2024)'!Print_Area</vt:lpstr>
      <vt:lpstr>'Income Statement'!Print_Titles</vt:lpstr>
      <vt:lpstr>'Non-GAAP'!Print_Titles</vt:lpstr>
      <vt:lpstr>'Other Metrics'!Print_Titles</vt:lpstr>
      <vt:lpstr>'Revenue &amp; Margin (eff. 2025)'!Print_Titles</vt:lpstr>
      <vt:lpstr>'Revenue &amp; Margin (till 2024)'!Print_Titles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Amesh Bhatnagar</dc:creator>
  <cp:lastModifiedBy>Priyanka Aggarwal</cp:lastModifiedBy>
  <cp:lastPrinted>2026-10-26T16:31:03Z</cp:lastPrinted>
  <dcterms:created xsi:type="dcterms:W3CDTF">2026-10-26T05:55:57Z</dcterms:created>
  <dcterms:modified xsi:type="dcterms:W3CDTF">2026-10-26T19:18:03Z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0x010100EAF149212BDADD429E2028B87BF5C05A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{A44787D4-0540-4523-9961-78E4036D8C6D}">
    <vt:lpwstr>{3A14322B-67C3-4702-A2EE-168A172D28C2}</vt:lpwstr>
  </property>
</Properties>
</file>